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-220" yWindow="-130" windowWidth="9570" windowHeight="7480" tabRatio="776"/>
  </bookViews>
  <sheets>
    <sheet name="2870-Scope" sheetId="33" r:id="rId1"/>
    <sheet name="Stand Solutions" sheetId="34" r:id="rId2"/>
    <sheet name="Lab-4" sheetId="17" r:id="rId3"/>
    <sheet name="Lab-5" sheetId="24" r:id="rId4"/>
    <sheet name="Info" sheetId="20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41" i="34" l="1"/>
  <c r="U41" i="34"/>
  <c r="BC43" i="34"/>
  <c r="BD42" i="34"/>
  <c r="BD41" i="34"/>
  <c r="N41" i="34"/>
  <c r="N37" i="34" s="1"/>
  <c r="H37" i="34"/>
  <c r="BD37" i="34" s="1"/>
  <c r="H38" i="34"/>
  <c r="BD38" i="34" s="1"/>
  <c r="H40" i="34"/>
  <c r="N40" i="34" s="1"/>
  <c r="H31" i="34"/>
  <c r="AP31" i="34" s="1"/>
  <c r="H29" i="34"/>
  <c r="BD29" i="34" s="1"/>
  <c r="AV43" i="34"/>
  <c r="AO43" i="34"/>
  <c r="AH43" i="34"/>
  <c r="AA43" i="34"/>
  <c r="T43" i="34"/>
  <c r="M43" i="34"/>
  <c r="F43" i="34"/>
  <c r="I43" i="34" s="1"/>
  <c r="AW42" i="34"/>
  <c r="AP42" i="34"/>
  <c r="AI42" i="34"/>
  <c r="AI43" i="34" s="1"/>
  <c r="AB42" i="34"/>
  <c r="AB43" i="34" s="1"/>
  <c r="U42" i="34"/>
  <c r="N42" i="34"/>
  <c r="N43" i="34" s="1"/>
  <c r="P43" i="34" s="1"/>
  <c r="AW41" i="34"/>
  <c r="AP41" i="34"/>
  <c r="AP43" i="34" s="1"/>
  <c r="G40" i="34"/>
  <c r="I40" i="34" s="1"/>
  <c r="J40" i="34" s="1"/>
  <c r="G39" i="34"/>
  <c r="H39" i="34" s="1"/>
  <c r="G38" i="34"/>
  <c r="I38" i="34" s="1"/>
  <c r="J38" i="34" s="1"/>
  <c r="G36" i="34"/>
  <c r="I36" i="34" s="1"/>
  <c r="J36" i="34" s="1"/>
  <c r="G35" i="34"/>
  <c r="H35" i="34" s="1"/>
  <c r="G34" i="34"/>
  <c r="H34" i="34" s="1"/>
  <c r="F33" i="34"/>
  <c r="G33" i="34" s="1"/>
  <c r="H33" i="34" s="1"/>
  <c r="G32" i="34"/>
  <c r="I32" i="34" s="1"/>
  <c r="J32" i="34" s="1"/>
  <c r="G31" i="34"/>
  <c r="G30" i="34"/>
  <c r="I30" i="34" s="1"/>
  <c r="J30" i="34" s="1"/>
  <c r="G29" i="34"/>
  <c r="G28" i="34"/>
  <c r="I28" i="34" s="1"/>
  <c r="J28" i="34" s="1"/>
  <c r="BD20" i="34"/>
  <c r="BC21" i="34"/>
  <c r="BD19" i="34"/>
  <c r="AW19" i="34"/>
  <c r="AW20" i="34"/>
  <c r="AV21" i="34"/>
  <c r="AP20" i="34"/>
  <c r="AP19" i="34"/>
  <c r="AO21" i="34"/>
  <c r="AI20" i="34"/>
  <c r="AH21" i="34"/>
  <c r="AB20" i="34"/>
  <c r="AB21" i="34" s="1"/>
  <c r="U20" i="34"/>
  <c r="U21" i="34" s="1"/>
  <c r="AA21" i="34"/>
  <c r="T21" i="34"/>
  <c r="M21" i="34"/>
  <c r="N20" i="34"/>
  <c r="N21" i="34" s="1"/>
  <c r="G6" i="34"/>
  <c r="F11" i="34"/>
  <c r="G11" i="34" s="1"/>
  <c r="H11" i="34" s="1"/>
  <c r="F21" i="34"/>
  <c r="I21" i="34" s="1"/>
  <c r="G13" i="34"/>
  <c r="H13" i="34" s="1"/>
  <c r="AI13" i="34" s="1"/>
  <c r="G14" i="34"/>
  <c r="H15" i="34"/>
  <c r="G16" i="34"/>
  <c r="H16" i="34" s="1"/>
  <c r="BD16" i="34" s="1"/>
  <c r="G17" i="34"/>
  <c r="H17" i="34" s="1"/>
  <c r="BD17" i="34" s="1"/>
  <c r="G18" i="34"/>
  <c r="G12" i="34"/>
  <c r="H12" i="34" s="1"/>
  <c r="G7" i="34"/>
  <c r="H7" i="34" s="1"/>
  <c r="BD7" i="34" s="1"/>
  <c r="BF7" i="34" s="1"/>
  <c r="BG7" i="34" s="1"/>
  <c r="G8" i="34"/>
  <c r="H8" i="34" s="1"/>
  <c r="G9" i="34"/>
  <c r="G10" i="34"/>
  <c r="H10" i="34" s="1"/>
  <c r="AP34" i="34" l="1"/>
  <c r="N34" i="34"/>
  <c r="BD34" i="34"/>
  <c r="AW34" i="34"/>
  <c r="N39" i="34"/>
  <c r="BD39" i="34"/>
  <c r="AW39" i="34"/>
  <c r="AP39" i="34"/>
  <c r="N35" i="34"/>
  <c r="BD35" i="34"/>
  <c r="AW35" i="34"/>
  <c r="AP35" i="34"/>
  <c r="AW33" i="34"/>
  <c r="BD33" i="34"/>
  <c r="AP33" i="34"/>
  <c r="AQ33" i="34" s="1"/>
  <c r="AI33" i="34"/>
  <c r="AJ33" i="34" s="1"/>
  <c r="N33" i="34"/>
  <c r="H36" i="34"/>
  <c r="I39" i="34"/>
  <c r="J39" i="34" s="1"/>
  <c r="AP8" i="34"/>
  <c r="P21" i="34"/>
  <c r="H28" i="34"/>
  <c r="H30" i="34"/>
  <c r="I34" i="34"/>
  <c r="J34" i="34" s="1"/>
  <c r="N29" i="34"/>
  <c r="N38" i="34"/>
  <c r="AI35" i="34"/>
  <c r="AP40" i="34"/>
  <c r="AW31" i="34"/>
  <c r="AW37" i="34"/>
  <c r="I33" i="34"/>
  <c r="J33" i="34" s="1"/>
  <c r="I29" i="34"/>
  <c r="J29" i="34" s="1"/>
  <c r="AP29" i="34"/>
  <c r="AW40" i="34"/>
  <c r="BD31" i="34"/>
  <c r="BD40" i="34"/>
  <c r="I37" i="34"/>
  <c r="J37" i="34" s="1"/>
  <c r="AW10" i="34"/>
  <c r="AP12" i="34"/>
  <c r="AP15" i="34"/>
  <c r="H32" i="34"/>
  <c r="N31" i="34"/>
  <c r="AP38" i="34"/>
  <c r="AW29" i="34"/>
  <c r="I35" i="34"/>
  <c r="J35" i="34" s="1"/>
  <c r="I31" i="34"/>
  <c r="J31" i="34" s="1"/>
  <c r="U33" i="34"/>
  <c r="AI38" i="34"/>
  <c r="AP37" i="34"/>
  <c r="AW38" i="34"/>
  <c r="BD43" i="34"/>
  <c r="BE38" i="34" s="1"/>
  <c r="AW43" i="34"/>
  <c r="AI31" i="34"/>
  <c r="AI34" i="34"/>
  <c r="AI37" i="34"/>
  <c r="AI40" i="34"/>
  <c r="AI36" i="34"/>
  <c r="AI28" i="34"/>
  <c r="AI29" i="34"/>
  <c r="AI39" i="34"/>
  <c r="U43" i="34"/>
  <c r="W43" i="34"/>
  <c r="BF29" i="34"/>
  <c r="BG29" i="34" s="1"/>
  <c r="BF33" i="34"/>
  <c r="BG33" i="34" s="1"/>
  <c r="BF34" i="34"/>
  <c r="BG34" i="34" s="1"/>
  <c r="BF35" i="34"/>
  <c r="BG35" i="34" s="1"/>
  <c r="BF37" i="34"/>
  <c r="BG37" i="34" s="1"/>
  <c r="BF38" i="34"/>
  <c r="BG38" i="34" s="1"/>
  <c r="BF39" i="34"/>
  <c r="BG39" i="34" s="1"/>
  <c r="BF40" i="34"/>
  <c r="BG40" i="34" s="1"/>
  <c r="G42" i="34"/>
  <c r="G44" i="34" s="1"/>
  <c r="AW11" i="34"/>
  <c r="BD11" i="34"/>
  <c r="N11" i="34"/>
  <c r="P11" i="34" s="1"/>
  <c r="Q11" i="34" s="1"/>
  <c r="AK37" i="34"/>
  <c r="AL37" i="34" s="1"/>
  <c r="AY38" i="34"/>
  <c r="AZ38" i="34" s="1"/>
  <c r="O37" i="34"/>
  <c r="U37" i="34"/>
  <c r="V37" i="34" s="1"/>
  <c r="AB37" i="34"/>
  <c r="AC37" i="34" s="1"/>
  <c r="AY40" i="34"/>
  <c r="AZ40" i="34" s="1"/>
  <c r="U31" i="34"/>
  <c r="U32" i="34"/>
  <c r="U35" i="34"/>
  <c r="W37" i="34"/>
  <c r="X37" i="34" s="1"/>
  <c r="AY37" i="34"/>
  <c r="AZ37" i="34" s="1"/>
  <c r="AB33" i="34"/>
  <c r="AB38" i="34"/>
  <c r="AB39" i="34"/>
  <c r="AB40" i="34"/>
  <c r="AB31" i="34"/>
  <c r="AB32" i="34"/>
  <c r="AB34" i="34"/>
  <c r="U34" i="34"/>
  <c r="P37" i="34"/>
  <c r="Q37" i="34" s="1"/>
  <c r="AR37" i="34"/>
  <c r="AS37" i="34" s="1"/>
  <c r="U38" i="34"/>
  <c r="U39" i="34"/>
  <c r="U40" i="34"/>
  <c r="W21" i="34"/>
  <c r="N17" i="34"/>
  <c r="P17" i="34" s="1"/>
  <c r="Q17" i="34" s="1"/>
  <c r="N13" i="34"/>
  <c r="P13" i="34" s="1"/>
  <c r="Q13" i="34" s="1"/>
  <c r="N8" i="34"/>
  <c r="P8" i="34" s="1"/>
  <c r="Q8" i="34" s="1"/>
  <c r="U8" i="34"/>
  <c r="W8" i="34" s="1"/>
  <c r="X8" i="34" s="1"/>
  <c r="U17" i="34"/>
  <c r="W17" i="34" s="1"/>
  <c r="X17" i="34" s="1"/>
  <c r="U13" i="34"/>
  <c r="W13" i="34" s="1"/>
  <c r="X13" i="34" s="1"/>
  <c r="AB17" i="34"/>
  <c r="AD17" i="34" s="1"/>
  <c r="AE17" i="34" s="1"/>
  <c r="AB13" i="34"/>
  <c r="AB8" i="34"/>
  <c r="AB11" i="34"/>
  <c r="AP7" i="34"/>
  <c r="AP17" i="34"/>
  <c r="AR17" i="34" s="1"/>
  <c r="AS17" i="34" s="1"/>
  <c r="AP13" i="34"/>
  <c r="AW8" i="34"/>
  <c r="AW13" i="34"/>
  <c r="AY13" i="34" s="1"/>
  <c r="AZ13" i="34" s="1"/>
  <c r="BD10" i="34"/>
  <c r="BF10" i="34" s="1"/>
  <c r="BG10" i="34" s="1"/>
  <c r="BD12" i="34"/>
  <c r="BF12" i="34" s="1"/>
  <c r="BG12" i="34" s="1"/>
  <c r="BD15" i="34"/>
  <c r="N16" i="34"/>
  <c r="P16" i="34" s="1"/>
  <c r="Q16" i="34" s="1"/>
  <c r="N12" i="34"/>
  <c r="P12" i="34" s="1"/>
  <c r="Q12" i="34" s="1"/>
  <c r="N7" i="34"/>
  <c r="P7" i="34" s="1"/>
  <c r="Q7" i="34" s="1"/>
  <c r="U7" i="34"/>
  <c r="W7" i="34" s="1"/>
  <c r="X7" i="34" s="1"/>
  <c r="U16" i="34"/>
  <c r="W16" i="34" s="1"/>
  <c r="X16" i="34" s="1"/>
  <c r="U11" i="34"/>
  <c r="W11" i="34" s="1"/>
  <c r="X11" i="34" s="1"/>
  <c r="AB16" i="34"/>
  <c r="AB12" i="34"/>
  <c r="AD12" i="34" s="1"/>
  <c r="AE12" i="34" s="1"/>
  <c r="AB7" i="34"/>
  <c r="AC7" i="34" s="1"/>
  <c r="AI11" i="34"/>
  <c r="AP10" i="34"/>
  <c r="AP11" i="34"/>
  <c r="AR11" i="34" s="1"/>
  <c r="AS11" i="34" s="1"/>
  <c r="AP16" i="34"/>
  <c r="AR16" i="34" s="1"/>
  <c r="AS16" i="34" s="1"/>
  <c r="N15" i="34"/>
  <c r="P15" i="34" s="1"/>
  <c r="Q15" i="34" s="1"/>
  <c r="N10" i="34"/>
  <c r="P10" i="34" s="1"/>
  <c r="Q10" i="34" s="1"/>
  <c r="U10" i="34"/>
  <c r="W10" i="34" s="1"/>
  <c r="X10" i="34" s="1"/>
  <c r="U12" i="34"/>
  <c r="W12" i="34" s="1"/>
  <c r="X12" i="34" s="1"/>
  <c r="U15" i="34"/>
  <c r="W15" i="34" s="1"/>
  <c r="X15" i="34" s="1"/>
  <c r="AB15" i="34"/>
  <c r="AB10" i="34"/>
  <c r="AI12" i="34"/>
  <c r="BD8" i="34"/>
  <c r="BD13" i="34"/>
  <c r="AI8" i="34"/>
  <c r="AW16" i="34"/>
  <c r="BD21" i="34"/>
  <c r="BF15" i="34"/>
  <c r="BG15" i="34" s="1"/>
  <c r="BF11" i="34"/>
  <c r="BG11" i="34" s="1"/>
  <c r="BF16" i="34"/>
  <c r="BG16" i="34" s="1"/>
  <c r="BF13" i="34"/>
  <c r="BG13" i="34" s="1"/>
  <c r="BF17" i="34"/>
  <c r="BG17" i="34" s="1"/>
  <c r="AW12" i="34"/>
  <c r="AY12" i="34" s="1"/>
  <c r="AZ12" i="34" s="1"/>
  <c r="AW15" i="34"/>
  <c r="AW7" i="34"/>
  <c r="AY7" i="34" s="1"/>
  <c r="AZ7" i="34" s="1"/>
  <c r="AW17" i="34"/>
  <c r="AY8" i="34"/>
  <c r="AZ8" i="34" s="1"/>
  <c r="AW21" i="34"/>
  <c r="AX40" i="34" s="1"/>
  <c r="AY10" i="34"/>
  <c r="AZ10" i="34" s="1"/>
  <c r="AX7" i="34"/>
  <c r="AX8" i="34"/>
  <c r="AX10" i="34"/>
  <c r="AY11" i="34"/>
  <c r="AZ11" i="34" s="1"/>
  <c r="AP21" i="34"/>
  <c r="AR8" i="34"/>
  <c r="AS8" i="34" s="1"/>
  <c r="AR12" i="34"/>
  <c r="AS12" i="34" s="1"/>
  <c r="AI7" i="34"/>
  <c r="AI10" i="34"/>
  <c r="AI17" i="34"/>
  <c r="AI16" i="34"/>
  <c r="AI15" i="34"/>
  <c r="AR7" i="34"/>
  <c r="AS7" i="34" s="1"/>
  <c r="AR13" i="34"/>
  <c r="AS13" i="34" s="1"/>
  <c r="AR10" i="34"/>
  <c r="AS10" i="34" s="1"/>
  <c r="AR15" i="34"/>
  <c r="AS15" i="34" s="1"/>
  <c r="AI21" i="34"/>
  <c r="O17" i="34"/>
  <c r="O16" i="34"/>
  <c r="O12" i="34"/>
  <c r="O7" i="34"/>
  <c r="O10" i="34"/>
  <c r="V7" i="34"/>
  <c r="V16" i="34"/>
  <c r="V10" i="34"/>
  <c r="AD10" i="34" s="1"/>
  <c r="AE10" i="34" s="1"/>
  <c r="V13" i="34"/>
  <c r="AD13" i="34" s="1"/>
  <c r="AE13" i="34" s="1"/>
  <c r="V17" i="34"/>
  <c r="AC17" i="34" s="1"/>
  <c r="AD7" i="34"/>
  <c r="AE7" i="34" s="1"/>
  <c r="AD15" i="34"/>
  <c r="AE15" i="34" s="1"/>
  <c r="AC16" i="34"/>
  <c r="AD16" i="34"/>
  <c r="AE16" i="34" s="1"/>
  <c r="AC12" i="34"/>
  <c r="AK12" i="34" s="1"/>
  <c r="AL12" i="34" s="1"/>
  <c r="AC8" i="34"/>
  <c r="AK8" i="34" s="1"/>
  <c r="AL8" i="34" s="1"/>
  <c r="AD8" i="34"/>
  <c r="AE8" i="34" s="1"/>
  <c r="O11" i="34"/>
  <c r="I6" i="34"/>
  <c r="J6" i="34" s="1"/>
  <c r="I18" i="34"/>
  <c r="J18" i="34" s="1"/>
  <c r="I11" i="34"/>
  <c r="J11" i="34" s="1"/>
  <c r="I9" i="34"/>
  <c r="J9" i="34" s="1"/>
  <c r="I14" i="34"/>
  <c r="J14" i="34" s="1"/>
  <c r="H9" i="34"/>
  <c r="H18" i="34"/>
  <c r="AI18" i="34" s="1"/>
  <c r="H14" i="34"/>
  <c r="AW14" i="34" s="1"/>
  <c r="I8" i="34"/>
  <c r="J8" i="34" s="1"/>
  <c r="I17" i="34"/>
  <c r="J17" i="34" s="1"/>
  <c r="I13" i="34"/>
  <c r="J13" i="34" s="1"/>
  <c r="I7" i="34"/>
  <c r="J7" i="34" s="1"/>
  <c r="I16" i="34"/>
  <c r="J16" i="34" s="1"/>
  <c r="I10" i="34"/>
  <c r="J10" i="34" s="1"/>
  <c r="I12" i="34"/>
  <c r="J12" i="34" s="1"/>
  <c r="I15" i="34"/>
  <c r="J15" i="34" s="1"/>
  <c r="G20" i="34"/>
  <c r="G22" i="34" s="1"/>
  <c r="H6" i="34"/>
  <c r="AX11" i="34" l="1"/>
  <c r="AW32" i="34"/>
  <c r="AP32" i="34"/>
  <c r="N32" i="34"/>
  <c r="BD32" i="34"/>
  <c r="AI32" i="34"/>
  <c r="P33" i="34"/>
  <c r="O33" i="34"/>
  <c r="AX33" i="34"/>
  <c r="BE40" i="34"/>
  <c r="BE37" i="34"/>
  <c r="BE35" i="34"/>
  <c r="BE34" i="34"/>
  <c r="AX39" i="34"/>
  <c r="BE31" i="34"/>
  <c r="N30" i="34"/>
  <c r="BD30" i="34"/>
  <c r="AW30" i="34"/>
  <c r="AI30" i="34"/>
  <c r="AP30" i="34"/>
  <c r="BE29" i="34"/>
  <c r="BE39" i="34"/>
  <c r="BE12" i="34"/>
  <c r="BE8" i="34"/>
  <c r="BF31" i="34"/>
  <c r="BG31" i="34" s="1"/>
  <c r="BD28" i="34"/>
  <c r="AW28" i="34"/>
  <c r="AP28" i="34"/>
  <c r="N28" i="34"/>
  <c r="N36" i="34"/>
  <c r="BD36" i="34"/>
  <c r="AW36" i="34"/>
  <c r="AP36" i="34"/>
  <c r="BE33" i="34"/>
  <c r="AD37" i="34"/>
  <c r="AE37" i="34" s="1"/>
  <c r="AY39" i="34"/>
  <c r="AZ39" i="34" s="1"/>
  <c r="AX38" i="34"/>
  <c r="U36" i="34"/>
  <c r="AQ36" i="34"/>
  <c r="AB35" i="34"/>
  <c r="AC35" i="34" s="1"/>
  <c r="BE15" i="34"/>
  <c r="BF8" i="34"/>
  <c r="BG8" i="34" s="1"/>
  <c r="O8" i="34"/>
  <c r="BE13" i="34"/>
  <c r="AB36" i="34"/>
  <c r="AD36" i="34" s="1"/>
  <c r="AE36" i="34" s="1"/>
  <c r="AX37" i="34"/>
  <c r="AQ37" i="34"/>
  <c r="V11" i="34"/>
  <c r="AC11" i="34" s="1"/>
  <c r="BE11" i="34"/>
  <c r="AJ37" i="34"/>
  <c r="BE7" i="34"/>
  <c r="V40" i="34"/>
  <c r="W40" i="34"/>
  <c r="X40" i="34" s="1"/>
  <c r="V38" i="34"/>
  <c r="W38" i="34"/>
  <c r="X38" i="34" s="1"/>
  <c r="AK34" i="34"/>
  <c r="AL34" i="34" s="1"/>
  <c r="AJ34" i="34"/>
  <c r="AQ32" i="34"/>
  <c r="AR32" i="34"/>
  <c r="AS32" i="34" s="1"/>
  <c r="AC31" i="34"/>
  <c r="AD31" i="34"/>
  <c r="AE31" i="34" s="1"/>
  <c r="AB28" i="34"/>
  <c r="U28" i="34"/>
  <c r="O40" i="34"/>
  <c r="P40" i="34"/>
  <c r="Q40" i="34" s="1"/>
  <c r="O39" i="34"/>
  <c r="P39" i="34"/>
  <c r="Q39" i="34" s="1"/>
  <c r="AK33" i="34"/>
  <c r="AL33" i="34" s="1"/>
  <c r="AD35" i="34"/>
  <c r="AE35" i="34" s="1"/>
  <c r="AX31" i="34"/>
  <c r="AY31" i="34"/>
  <c r="AZ31" i="34" s="1"/>
  <c r="AJ39" i="34"/>
  <c r="AK39" i="34"/>
  <c r="AL39" i="34" s="1"/>
  <c r="AK36" i="34"/>
  <c r="AL36" i="34" s="1"/>
  <c r="AJ36" i="34"/>
  <c r="P34" i="34"/>
  <c r="Q34" i="34" s="1"/>
  <c r="O34" i="34"/>
  <c r="AR34" i="34"/>
  <c r="AS34" i="34" s="1"/>
  <c r="AQ34" i="34"/>
  <c r="AC32" i="34"/>
  <c r="AD32" i="34"/>
  <c r="AE32" i="34" s="1"/>
  <c r="O31" i="34"/>
  <c r="P31" i="34"/>
  <c r="Q31" i="34" s="1"/>
  <c r="Q33" i="34"/>
  <c r="AR33" i="34"/>
  <c r="AS33" i="34" s="1"/>
  <c r="AK35" i="34"/>
  <c r="AL35" i="34" s="1"/>
  <c r="AJ35" i="34"/>
  <c r="AX32" i="34"/>
  <c r="AY32" i="34"/>
  <c r="AZ32" i="34" s="1"/>
  <c r="AJ31" i="34"/>
  <c r="AK31" i="34"/>
  <c r="AL31" i="34" s="1"/>
  <c r="P36" i="34"/>
  <c r="Q36" i="34" s="1"/>
  <c r="O36" i="34"/>
  <c r="AQ38" i="34"/>
  <c r="AR38" i="34"/>
  <c r="AS38" i="34" s="1"/>
  <c r="V39" i="34"/>
  <c r="W39" i="34"/>
  <c r="X39" i="34" s="1"/>
  <c r="AR36" i="34"/>
  <c r="AS36" i="34" s="1"/>
  <c r="W34" i="34"/>
  <c r="X34" i="34" s="1"/>
  <c r="V34" i="34"/>
  <c r="AY34" i="34"/>
  <c r="AZ34" i="34" s="1"/>
  <c r="AX34" i="34"/>
  <c r="O32" i="34"/>
  <c r="P32" i="34"/>
  <c r="Q32" i="34" s="1"/>
  <c r="AB30" i="34"/>
  <c r="U30" i="34"/>
  <c r="AQ40" i="34"/>
  <c r="AR40" i="34"/>
  <c r="AS40" i="34" s="1"/>
  <c r="AQ39" i="34"/>
  <c r="AR39" i="34"/>
  <c r="AS39" i="34" s="1"/>
  <c r="W33" i="34"/>
  <c r="X33" i="34" s="1"/>
  <c r="V33" i="34"/>
  <c r="AY33" i="34"/>
  <c r="AZ33" i="34" s="1"/>
  <c r="P35" i="34"/>
  <c r="Q35" i="34" s="1"/>
  <c r="O35" i="34"/>
  <c r="AR35" i="34"/>
  <c r="AS35" i="34" s="1"/>
  <c r="AQ35" i="34"/>
  <c r="AJ32" i="34"/>
  <c r="AK32" i="34"/>
  <c r="AL32" i="34" s="1"/>
  <c r="V31" i="34"/>
  <c r="W31" i="34"/>
  <c r="X31" i="34" s="1"/>
  <c r="AJ40" i="34"/>
  <c r="AK40" i="34"/>
  <c r="AL40" i="34" s="1"/>
  <c r="AJ38" i="34"/>
  <c r="AK38" i="34"/>
  <c r="AL38" i="34" s="1"/>
  <c r="W36" i="34"/>
  <c r="X36" i="34" s="1"/>
  <c r="V36" i="34"/>
  <c r="AY36" i="34"/>
  <c r="AZ36" i="34" s="1"/>
  <c r="AX36" i="34"/>
  <c r="AD34" i="34"/>
  <c r="AE34" i="34" s="1"/>
  <c r="AC34" i="34"/>
  <c r="AQ31" i="34"/>
  <c r="AR31" i="34"/>
  <c r="AS31" i="34" s="1"/>
  <c r="AB29" i="34"/>
  <c r="U29" i="34"/>
  <c r="AC40" i="34"/>
  <c r="AD40" i="34"/>
  <c r="AE40" i="34" s="1"/>
  <c r="AC39" i="34"/>
  <c r="AD39" i="34"/>
  <c r="AE39" i="34" s="1"/>
  <c r="AC38" i="34"/>
  <c r="AD38" i="34"/>
  <c r="AE38" i="34" s="1"/>
  <c r="AD33" i="34"/>
  <c r="AE33" i="34" s="1"/>
  <c r="AC33" i="34"/>
  <c r="W35" i="34"/>
  <c r="X35" i="34" s="1"/>
  <c r="V35" i="34"/>
  <c r="AY35" i="34"/>
  <c r="AZ35" i="34" s="1"/>
  <c r="AX35" i="34"/>
  <c r="V32" i="34"/>
  <c r="W32" i="34"/>
  <c r="X32" i="34" s="1"/>
  <c r="AC36" i="34"/>
  <c r="O38" i="34"/>
  <c r="P38" i="34"/>
  <c r="Q38" i="34" s="1"/>
  <c r="AP14" i="34"/>
  <c r="AR14" i="34" s="1"/>
  <c r="AS14" i="34" s="1"/>
  <c r="AB14" i="34"/>
  <c r="AC14" i="34" s="1"/>
  <c r="U14" i="34"/>
  <c r="N14" i="34"/>
  <c r="BD14" i="34"/>
  <c r="AI14" i="34"/>
  <c r="AJ14" i="34" s="1"/>
  <c r="V15" i="34"/>
  <c r="AC15" i="34" s="1"/>
  <c r="AJ15" i="34" s="1"/>
  <c r="O15" i="34"/>
  <c r="V8" i="34"/>
  <c r="BE17" i="34"/>
  <c r="AP18" i="34"/>
  <c r="AR18" i="34" s="1"/>
  <c r="AS18" i="34" s="1"/>
  <c r="AB18" i="34"/>
  <c r="AC18" i="34" s="1"/>
  <c r="U18" i="34"/>
  <c r="N18" i="34"/>
  <c r="AW18" i="34"/>
  <c r="AX18" i="34" s="1"/>
  <c r="BD18" i="34"/>
  <c r="BD6" i="34"/>
  <c r="AB6" i="34"/>
  <c r="AD6" i="34" s="1"/>
  <c r="AE6" i="34" s="1"/>
  <c r="N6" i="34"/>
  <c r="AP6" i="34"/>
  <c r="AR6" i="34" s="1"/>
  <c r="AS6" i="34" s="1"/>
  <c r="U6" i="34"/>
  <c r="AB9" i="34"/>
  <c r="AC9" i="34" s="1"/>
  <c r="U9" i="34"/>
  <c r="N9" i="34"/>
  <c r="AP9" i="34"/>
  <c r="AR9" i="34" s="1"/>
  <c r="AS9" i="34" s="1"/>
  <c r="AI9" i="34"/>
  <c r="AJ9" i="34" s="1"/>
  <c r="BD9" i="34"/>
  <c r="AK7" i="34"/>
  <c r="AL7" i="34" s="1"/>
  <c r="O13" i="34"/>
  <c r="AI6" i="34"/>
  <c r="AW6" i="34"/>
  <c r="AW9" i="34"/>
  <c r="AY9" i="34" s="1"/>
  <c r="AZ9" i="34" s="1"/>
  <c r="BE10" i="34"/>
  <c r="V12" i="34"/>
  <c r="BE16" i="34"/>
  <c r="AX12" i="34"/>
  <c r="AX13" i="34"/>
  <c r="AX14" i="34"/>
  <c r="AY14" i="34"/>
  <c r="AZ14" i="34" s="1"/>
  <c r="AX17" i="34"/>
  <c r="AY17" i="34"/>
  <c r="AZ17" i="34" s="1"/>
  <c r="AY18" i="34"/>
  <c r="AZ18" i="34" s="1"/>
  <c r="AX16" i="34"/>
  <c r="AY16" i="34"/>
  <c r="AZ16" i="34" s="1"/>
  <c r="AX15" i="34"/>
  <c r="AY15" i="34"/>
  <c r="AZ15" i="34" s="1"/>
  <c r="AQ17" i="34"/>
  <c r="AQ13" i="34"/>
  <c r="AQ16" i="34"/>
  <c r="AQ12" i="34"/>
  <c r="AQ8" i="34"/>
  <c r="AQ15" i="34"/>
  <c r="AQ11" i="34"/>
  <c r="AQ7" i="34"/>
  <c r="AQ18" i="34"/>
  <c r="AQ10" i="34"/>
  <c r="AJ11" i="34"/>
  <c r="AJ17" i="34"/>
  <c r="AK16" i="34"/>
  <c r="AL16" i="34" s="1"/>
  <c r="AK15" i="34"/>
  <c r="AL15" i="34" s="1"/>
  <c r="AK17" i="34"/>
  <c r="AL17" i="34" s="1"/>
  <c r="AJ16" i="34"/>
  <c r="AJ12" i="34"/>
  <c r="AJ8" i="34"/>
  <c r="AK11" i="34"/>
  <c r="AL11" i="34" s="1"/>
  <c r="AJ7" i="34"/>
  <c r="AD11" i="34"/>
  <c r="AE11" i="34" s="1"/>
  <c r="AC13" i="34"/>
  <c r="AC10" i="34"/>
  <c r="AC6" i="34"/>
  <c r="BE36" i="34" l="1"/>
  <c r="BF36" i="34"/>
  <c r="BG36" i="34" s="1"/>
  <c r="BE28" i="34"/>
  <c r="BF28" i="34"/>
  <c r="BG28" i="34" s="1"/>
  <c r="N44" i="34"/>
  <c r="BF30" i="34"/>
  <c r="BG30" i="34" s="1"/>
  <c r="BE30" i="34"/>
  <c r="BE32" i="34"/>
  <c r="BF32" i="34"/>
  <c r="BG32" i="34" s="1"/>
  <c r="AQ6" i="34"/>
  <c r="W29" i="34"/>
  <c r="X29" i="34" s="1"/>
  <c r="V29" i="34"/>
  <c r="AY29" i="34"/>
  <c r="AZ29" i="34" s="1"/>
  <c r="AX29" i="34"/>
  <c r="V30" i="34"/>
  <c r="W30" i="34"/>
  <c r="X30" i="34" s="1"/>
  <c r="AC30" i="34"/>
  <c r="AD30" i="34"/>
  <c r="AE30" i="34" s="1"/>
  <c r="AK28" i="34"/>
  <c r="AL28" i="34" s="1"/>
  <c r="AJ28" i="34"/>
  <c r="AD29" i="34"/>
  <c r="AE29" i="34" s="1"/>
  <c r="AC29" i="34"/>
  <c r="AJ30" i="34"/>
  <c r="AK30" i="34"/>
  <c r="AL30" i="34" s="1"/>
  <c r="AQ30" i="34"/>
  <c r="AR30" i="34"/>
  <c r="AS30" i="34" s="1"/>
  <c r="P28" i="34"/>
  <c r="Q28" i="34" s="1"/>
  <c r="O28" i="34"/>
  <c r="AR28" i="34"/>
  <c r="AS28" i="34" s="1"/>
  <c r="AQ28" i="34"/>
  <c r="AK29" i="34"/>
  <c r="AL29" i="34" s="1"/>
  <c r="AJ29" i="34"/>
  <c r="AX30" i="34"/>
  <c r="AY30" i="34"/>
  <c r="AZ30" i="34" s="1"/>
  <c r="W28" i="34"/>
  <c r="X28" i="34" s="1"/>
  <c r="V28" i="34"/>
  <c r="AY28" i="34"/>
  <c r="AZ28" i="34" s="1"/>
  <c r="AX28" i="34"/>
  <c r="P29" i="34"/>
  <c r="Q29" i="34" s="1"/>
  <c r="O29" i="34"/>
  <c r="AR29" i="34"/>
  <c r="AS29" i="34" s="1"/>
  <c r="AQ29" i="34"/>
  <c r="O30" i="34"/>
  <c r="P30" i="34"/>
  <c r="Q30" i="34" s="1"/>
  <c r="AD28" i="34"/>
  <c r="AE28" i="34" s="1"/>
  <c r="AC28" i="34"/>
  <c r="BF14" i="34"/>
  <c r="BG14" i="34" s="1"/>
  <c r="BE14" i="34"/>
  <c r="AQ14" i="34"/>
  <c r="AQ9" i="34"/>
  <c r="AX6" i="34"/>
  <c r="AY6" i="34"/>
  <c r="AZ6" i="34" s="1"/>
  <c r="P9" i="34"/>
  <c r="Q9" i="34" s="1"/>
  <c r="O9" i="34"/>
  <c r="BF18" i="34"/>
  <c r="BG18" i="34" s="1"/>
  <c r="BE18" i="34"/>
  <c r="P14" i="34"/>
  <c r="Q14" i="34" s="1"/>
  <c r="O14" i="34"/>
  <c r="BE9" i="34"/>
  <c r="BF9" i="34"/>
  <c r="BG9" i="34" s="1"/>
  <c r="W9" i="34"/>
  <c r="X9" i="34" s="1"/>
  <c r="V9" i="34"/>
  <c r="AD9" i="34" s="1"/>
  <c r="AE9" i="34" s="1"/>
  <c r="P6" i="34"/>
  <c r="Q6" i="34" s="1"/>
  <c r="O6" i="34"/>
  <c r="W14" i="34"/>
  <c r="X14" i="34" s="1"/>
  <c r="V14" i="34"/>
  <c r="AD14" i="34" s="1"/>
  <c r="AE14" i="34" s="1"/>
  <c r="AX9" i="34"/>
  <c r="AK9" i="34"/>
  <c r="AL9" i="34" s="1"/>
  <c r="P18" i="34"/>
  <c r="Q18" i="34" s="1"/>
  <c r="O18" i="34"/>
  <c r="AK14" i="34"/>
  <c r="AL14" i="34" s="1"/>
  <c r="W6" i="34"/>
  <c r="X6" i="34" s="1"/>
  <c r="V6" i="34"/>
  <c r="BF6" i="34"/>
  <c r="BG6" i="34" s="1"/>
  <c r="BE6" i="34"/>
  <c r="W18" i="34"/>
  <c r="X18" i="34" s="1"/>
  <c r="V18" i="34"/>
  <c r="AD18" i="34" s="1"/>
  <c r="AE18" i="34" s="1"/>
  <c r="AK6" i="34"/>
  <c r="AL6" i="34" s="1"/>
  <c r="AJ6" i="34"/>
  <c r="AK18" i="34"/>
  <c r="AL18" i="34" s="1"/>
  <c r="AJ18" i="34"/>
  <c r="AK10" i="34"/>
  <c r="AL10" i="34" s="1"/>
  <c r="AJ10" i="34"/>
  <c r="AK13" i="34"/>
  <c r="AL13" i="34" s="1"/>
  <c r="AJ13" i="34"/>
  <c r="F216" i="24" l="1"/>
  <c r="G216" i="24"/>
  <c r="F217" i="24"/>
  <c r="G217" i="24"/>
  <c r="F218" i="24"/>
  <c r="G218" i="24"/>
  <c r="F219" i="24"/>
  <c r="G219" i="24"/>
  <c r="H219" i="24"/>
  <c r="F220" i="24"/>
  <c r="G220" i="24"/>
  <c r="F221" i="24"/>
  <c r="G221" i="24"/>
  <c r="F222" i="24"/>
  <c r="G222" i="24"/>
  <c r="F223" i="24"/>
  <c r="G223" i="24"/>
  <c r="F224" i="24"/>
  <c r="G224" i="24"/>
  <c r="F225" i="24"/>
  <c r="G225" i="24"/>
  <c r="F226" i="24"/>
  <c r="G226" i="24"/>
  <c r="F227" i="24"/>
  <c r="G227" i="24"/>
  <c r="F228" i="24"/>
  <c r="G228" i="24"/>
  <c r="F229" i="24"/>
  <c r="G229" i="24"/>
  <c r="F230" i="24"/>
  <c r="G230" i="24"/>
  <c r="F231" i="24"/>
  <c r="G231" i="24"/>
  <c r="F232" i="24"/>
  <c r="G232" i="24"/>
  <c r="F233" i="24"/>
  <c r="G233" i="24"/>
  <c r="F234" i="24"/>
  <c r="G234" i="24"/>
  <c r="F235" i="24"/>
  <c r="G235" i="24"/>
  <c r="F236" i="24"/>
  <c r="G236" i="24"/>
  <c r="F237" i="24"/>
  <c r="G237" i="24"/>
  <c r="F238" i="24"/>
  <c r="G238" i="24"/>
  <c r="F239" i="24"/>
  <c r="G239" i="24"/>
  <c r="F240" i="24"/>
  <c r="G240" i="24"/>
  <c r="G215" i="24"/>
  <c r="F215" i="24"/>
  <c r="F183" i="24"/>
  <c r="G183" i="24"/>
  <c r="F184" i="24"/>
  <c r="G184" i="24"/>
  <c r="F185" i="24"/>
  <c r="G185" i="24"/>
  <c r="F186" i="24"/>
  <c r="G186" i="24"/>
  <c r="H186" i="24"/>
  <c r="F187" i="24"/>
  <c r="G187" i="24"/>
  <c r="F188" i="24"/>
  <c r="G188" i="24"/>
  <c r="F189" i="24"/>
  <c r="G189" i="24"/>
  <c r="F190" i="24"/>
  <c r="G190" i="24"/>
  <c r="F191" i="24"/>
  <c r="G191" i="24"/>
  <c r="F192" i="24"/>
  <c r="G192" i="24"/>
  <c r="F193" i="24"/>
  <c r="G193" i="24"/>
  <c r="F194" i="24"/>
  <c r="G194" i="24"/>
  <c r="F195" i="24"/>
  <c r="G195" i="24"/>
  <c r="F196" i="24"/>
  <c r="G196" i="24"/>
  <c r="F197" i="24"/>
  <c r="G197" i="24"/>
  <c r="F198" i="24"/>
  <c r="G198" i="24"/>
  <c r="F199" i="24"/>
  <c r="G199" i="24"/>
  <c r="F200" i="24"/>
  <c r="G200" i="24"/>
  <c r="F201" i="24"/>
  <c r="G201" i="24"/>
  <c r="F202" i="24"/>
  <c r="G202" i="24"/>
  <c r="F203" i="24"/>
  <c r="G203" i="24"/>
  <c r="F204" i="24"/>
  <c r="G204" i="24"/>
  <c r="F205" i="24"/>
  <c r="G205" i="24"/>
  <c r="F206" i="24"/>
  <c r="G206" i="24"/>
  <c r="F207" i="24"/>
  <c r="G207" i="24"/>
  <c r="G182" i="24"/>
  <c r="F182" i="24"/>
  <c r="F150" i="24"/>
  <c r="G150" i="24"/>
  <c r="F151" i="24"/>
  <c r="G151" i="24"/>
  <c r="F152" i="24"/>
  <c r="G152" i="24"/>
  <c r="F153" i="24"/>
  <c r="G153" i="24"/>
  <c r="H153" i="24"/>
  <c r="F154" i="24"/>
  <c r="G154" i="24"/>
  <c r="F155" i="24"/>
  <c r="G155" i="24"/>
  <c r="F156" i="24"/>
  <c r="G156" i="24"/>
  <c r="F157" i="24"/>
  <c r="G157" i="24"/>
  <c r="F158" i="24"/>
  <c r="G158" i="24"/>
  <c r="F159" i="24"/>
  <c r="G159" i="24"/>
  <c r="F160" i="24"/>
  <c r="G160" i="24"/>
  <c r="F161" i="24"/>
  <c r="G161" i="24"/>
  <c r="F162" i="24"/>
  <c r="G162" i="24"/>
  <c r="F163" i="24"/>
  <c r="G163" i="24"/>
  <c r="F164" i="24"/>
  <c r="G164" i="24"/>
  <c r="F165" i="24"/>
  <c r="G165" i="24"/>
  <c r="F166" i="24"/>
  <c r="G166" i="24"/>
  <c r="F167" i="24"/>
  <c r="G167" i="24"/>
  <c r="F168" i="24"/>
  <c r="G168" i="24"/>
  <c r="F169" i="24"/>
  <c r="G169" i="24"/>
  <c r="F170" i="24"/>
  <c r="G170" i="24"/>
  <c r="F171" i="24"/>
  <c r="G171" i="24"/>
  <c r="F172" i="24"/>
  <c r="G172" i="24"/>
  <c r="F173" i="24"/>
  <c r="G173" i="24"/>
  <c r="F174" i="24"/>
  <c r="G174" i="24"/>
  <c r="G149" i="24"/>
  <c r="F149" i="24"/>
  <c r="F117" i="24"/>
  <c r="G117" i="24"/>
  <c r="F118" i="24"/>
  <c r="G118" i="24"/>
  <c r="F119" i="24"/>
  <c r="G119" i="24"/>
  <c r="F120" i="24"/>
  <c r="G120" i="24"/>
  <c r="H120" i="24"/>
  <c r="F121" i="24"/>
  <c r="G121" i="24"/>
  <c r="F122" i="24"/>
  <c r="G122" i="24"/>
  <c r="F123" i="24"/>
  <c r="G123" i="24"/>
  <c r="F124" i="24"/>
  <c r="G124" i="24"/>
  <c r="F125" i="24"/>
  <c r="G125" i="24"/>
  <c r="F126" i="24"/>
  <c r="G126" i="24"/>
  <c r="F127" i="24"/>
  <c r="G127" i="24"/>
  <c r="F128" i="24"/>
  <c r="G128" i="24"/>
  <c r="F129" i="24"/>
  <c r="G129" i="24"/>
  <c r="F130" i="24"/>
  <c r="G130" i="24"/>
  <c r="F131" i="24"/>
  <c r="G131" i="24"/>
  <c r="F132" i="24"/>
  <c r="G132" i="24"/>
  <c r="F133" i="24"/>
  <c r="G133" i="24"/>
  <c r="F134" i="24"/>
  <c r="G134" i="24"/>
  <c r="F135" i="24"/>
  <c r="G135" i="24"/>
  <c r="F136" i="24"/>
  <c r="G136" i="24"/>
  <c r="F137" i="24"/>
  <c r="G137" i="24"/>
  <c r="F138" i="24"/>
  <c r="G138" i="24"/>
  <c r="F139" i="24"/>
  <c r="G139" i="24"/>
  <c r="F140" i="24"/>
  <c r="G140" i="24"/>
  <c r="F141" i="24"/>
  <c r="G141" i="24"/>
  <c r="G116" i="24"/>
  <c r="F116" i="24"/>
  <c r="H87" i="24"/>
  <c r="H54" i="24"/>
  <c r="F84" i="24"/>
  <c r="G84" i="24"/>
  <c r="F85" i="24"/>
  <c r="G85" i="24"/>
  <c r="F86" i="24"/>
  <c r="G86" i="24"/>
  <c r="F87" i="24"/>
  <c r="G87" i="24"/>
  <c r="F88" i="24"/>
  <c r="G88" i="24"/>
  <c r="F89" i="24"/>
  <c r="G89" i="24"/>
  <c r="F90" i="24"/>
  <c r="G90" i="24"/>
  <c r="F91" i="24"/>
  <c r="G91" i="24"/>
  <c r="F92" i="24"/>
  <c r="G92" i="24"/>
  <c r="F93" i="24"/>
  <c r="G93" i="24"/>
  <c r="F94" i="24"/>
  <c r="G94" i="24"/>
  <c r="F95" i="24"/>
  <c r="G95" i="24"/>
  <c r="F96" i="24"/>
  <c r="G96" i="24"/>
  <c r="F97" i="24"/>
  <c r="G97" i="24"/>
  <c r="F98" i="24"/>
  <c r="G98" i="24"/>
  <c r="F99" i="24"/>
  <c r="G99" i="24"/>
  <c r="F100" i="24"/>
  <c r="G100" i="24"/>
  <c r="F101" i="24"/>
  <c r="G101" i="24"/>
  <c r="F102" i="24"/>
  <c r="G102" i="24"/>
  <c r="F103" i="24"/>
  <c r="G103" i="24"/>
  <c r="F104" i="24"/>
  <c r="G104" i="24"/>
  <c r="F105" i="24"/>
  <c r="G105" i="24"/>
  <c r="F106" i="24"/>
  <c r="G106" i="24"/>
  <c r="F107" i="24"/>
  <c r="G107" i="24"/>
  <c r="F108" i="24"/>
  <c r="G108" i="24"/>
  <c r="F83" i="24"/>
  <c r="G83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50" i="24"/>
  <c r="G150" i="17" l="1"/>
  <c r="G129" i="17"/>
  <c r="J129" i="17" s="1"/>
  <c r="G107" i="17"/>
  <c r="J107" i="17" s="1"/>
  <c r="G85" i="17"/>
  <c r="I48" i="17" l="1"/>
  <c r="I49" i="17"/>
  <c r="I50" i="17"/>
  <c r="I51" i="17"/>
  <c r="I52" i="17"/>
  <c r="I53" i="17"/>
  <c r="I54" i="17"/>
  <c r="I55" i="17"/>
  <c r="I56" i="17"/>
  <c r="I57" i="17"/>
  <c r="I58" i="17"/>
  <c r="I59" i="17"/>
  <c r="H52" i="17"/>
  <c r="I47" i="17"/>
  <c r="L89" i="17" s="1"/>
  <c r="G138" i="17" l="1"/>
  <c r="G94" i="17"/>
  <c r="G159" i="17"/>
  <c r="H138" i="17"/>
  <c r="G116" i="17"/>
  <c r="H116" i="17"/>
  <c r="H159" i="17"/>
  <c r="H94" i="17"/>
  <c r="M144" i="17"/>
  <c r="L122" i="17"/>
  <c r="M122" i="17"/>
  <c r="L144" i="17"/>
  <c r="M140" i="17"/>
  <c r="L118" i="17"/>
  <c r="M118" i="17"/>
  <c r="L140" i="17"/>
  <c r="M136" i="17"/>
  <c r="L114" i="17"/>
  <c r="M114" i="17"/>
  <c r="L136" i="17"/>
  <c r="L143" i="17"/>
  <c r="L121" i="17"/>
  <c r="M143" i="17"/>
  <c r="M121" i="17"/>
  <c r="L139" i="17"/>
  <c r="M139" i="17"/>
  <c r="L117" i="17"/>
  <c r="M117" i="17"/>
  <c r="L135" i="17"/>
  <c r="L113" i="17"/>
  <c r="M135" i="17"/>
  <c r="M113" i="17"/>
  <c r="L133" i="17"/>
  <c r="M111" i="17"/>
  <c r="L111" i="17"/>
  <c r="M133" i="17"/>
  <c r="M138" i="17"/>
  <c r="L116" i="17"/>
  <c r="M116" i="17"/>
  <c r="L138" i="17"/>
  <c r="M134" i="17"/>
  <c r="L112" i="17"/>
  <c r="M112" i="17"/>
  <c r="L134" i="17"/>
  <c r="M142" i="17"/>
  <c r="L120" i="17"/>
  <c r="M120" i="17"/>
  <c r="L142" i="17"/>
  <c r="L145" i="17"/>
  <c r="M145" i="17"/>
  <c r="L123" i="17"/>
  <c r="M123" i="17"/>
  <c r="L141" i="17"/>
  <c r="L119" i="17"/>
  <c r="M141" i="17"/>
  <c r="M119" i="17"/>
  <c r="L137" i="17"/>
  <c r="L115" i="17"/>
  <c r="M137" i="17"/>
  <c r="M115" i="17"/>
  <c r="J138" i="17" l="1"/>
  <c r="K138" i="17" s="1"/>
  <c r="O145" i="17"/>
  <c r="P145" i="17" s="1"/>
  <c r="J116" i="17"/>
  <c r="K116" i="17" s="1"/>
  <c r="O111" i="17"/>
  <c r="P111" i="17" s="1"/>
  <c r="O137" i="17"/>
  <c r="P137" i="17" s="1"/>
  <c r="O141" i="17"/>
  <c r="P141" i="17" s="1"/>
  <c r="O142" i="17"/>
  <c r="P142" i="17" s="1"/>
  <c r="O134" i="17"/>
  <c r="P134" i="17" s="1"/>
  <c r="O138" i="17"/>
  <c r="P138" i="17" s="1"/>
  <c r="O140" i="17"/>
  <c r="P140" i="17" s="1"/>
  <c r="O144" i="17"/>
  <c r="P144" i="17" s="1"/>
  <c r="O120" i="17"/>
  <c r="P120" i="17" s="1"/>
  <c r="O112" i="17"/>
  <c r="P112" i="17" s="1"/>
  <c r="O116" i="17"/>
  <c r="P116" i="17" s="1"/>
  <c r="O122" i="17"/>
  <c r="P122" i="17" s="1"/>
  <c r="O115" i="17"/>
  <c r="P115" i="17" s="1"/>
  <c r="O119" i="17"/>
  <c r="P119" i="17" s="1"/>
  <c r="O113" i="17"/>
  <c r="P113" i="17" s="1"/>
  <c r="O121" i="17"/>
  <c r="P121" i="17" s="1"/>
  <c r="O136" i="17"/>
  <c r="P136" i="17" s="1"/>
  <c r="O114" i="17"/>
  <c r="P114" i="17" s="1"/>
  <c r="O118" i="17"/>
  <c r="P118" i="17" s="1"/>
  <c r="J159" i="17"/>
  <c r="K159" i="17" s="1"/>
  <c r="O123" i="17"/>
  <c r="P123" i="17" s="1"/>
  <c r="O133" i="17"/>
  <c r="P133" i="17" s="1"/>
  <c r="O135" i="17"/>
  <c r="P135" i="17" s="1"/>
  <c r="O117" i="17"/>
  <c r="P117" i="17" s="1"/>
  <c r="O139" i="17"/>
  <c r="P139" i="17" s="1"/>
  <c r="O143" i="17"/>
  <c r="P143" i="17" s="1"/>
  <c r="J94" i="17"/>
  <c r="K94" i="17" s="1"/>
  <c r="G51" i="24" l="1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50" i="24"/>
  <c r="F148" i="17" l="1"/>
  <c r="F127" i="17"/>
  <c r="F105" i="17"/>
  <c r="F83" i="17"/>
  <c r="C32" i="17"/>
  <c r="C48" i="17" s="1"/>
  <c r="D32" i="17"/>
  <c r="D48" i="17" s="1"/>
  <c r="E32" i="17"/>
  <c r="E48" i="17" s="1"/>
  <c r="H48" i="17" s="1"/>
  <c r="F32" i="17"/>
  <c r="F48" i="17" s="1"/>
  <c r="G32" i="17"/>
  <c r="G48" i="17" s="1"/>
  <c r="C33" i="17"/>
  <c r="C49" i="17" s="1"/>
  <c r="D33" i="17"/>
  <c r="D49" i="17" s="1"/>
  <c r="E33" i="17"/>
  <c r="E49" i="17" s="1"/>
  <c r="H49" i="17" s="1"/>
  <c r="F33" i="17"/>
  <c r="F49" i="17" s="1"/>
  <c r="G33" i="17"/>
  <c r="G49" i="17" s="1"/>
  <c r="C34" i="17"/>
  <c r="C50" i="17" s="1"/>
  <c r="D34" i="17"/>
  <c r="D50" i="17" s="1"/>
  <c r="E34" i="17"/>
  <c r="E50" i="17" s="1"/>
  <c r="H50" i="17" s="1"/>
  <c r="F34" i="17"/>
  <c r="F50" i="17" s="1"/>
  <c r="G34" i="17"/>
  <c r="G50" i="17" s="1"/>
  <c r="C35" i="17"/>
  <c r="C51" i="17" s="1"/>
  <c r="D35" i="17"/>
  <c r="D51" i="17" s="1"/>
  <c r="E35" i="17"/>
  <c r="E51" i="17" s="1"/>
  <c r="H51" i="17" s="1"/>
  <c r="F35" i="17"/>
  <c r="F51" i="17" s="1"/>
  <c r="G35" i="17"/>
  <c r="G51" i="17" s="1"/>
  <c r="C37" i="17"/>
  <c r="C53" i="17" s="1"/>
  <c r="D37" i="17"/>
  <c r="D53" i="17" s="1"/>
  <c r="E37" i="17"/>
  <c r="E53" i="17" s="1"/>
  <c r="H53" i="17" s="1"/>
  <c r="F37" i="17"/>
  <c r="F53" i="17" s="1"/>
  <c r="G37" i="17"/>
  <c r="G53" i="17" s="1"/>
  <c r="C38" i="17"/>
  <c r="C54" i="17" s="1"/>
  <c r="D38" i="17"/>
  <c r="D54" i="17" s="1"/>
  <c r="E38" i="17"/>
  <c r="E54" i="17" s="1"/>
  <c r="H54" i="17" s="1"/>
  <c r="F38" i="17"/>
  <c r="F54" i="17" s="1"/>
  <c r="G38" i="17"/>
  <c r="G54" i="17" s="1"/>
  <c r="C39" i="17"/>
  <c r="C55" i="17" s="1"/>
  <c r="D39" i="17"/>
  <c r="D55" i="17" s="1"/>
  <c r="E39" i="17"/>
  <c r="E55" i="17" s="1"/>
  <c r="H55" i="17" s="1"/>
  <c r="F39" i="17"/>
  <c r="F55" i="17" s="1"/>
  <c r="G39" i="17"/>
  <c r="G55" i="17" s="1"/>
  <c r="C40" i="17"/>
  <c r="C56" i="17" s="1"/>
  <c r="D40" i="17"/>
  <c r="D56" i="17" s="1"/>
  <c r="E40" i="17"/>
  <c r="E56" i="17" s="1"/>
  <c r="H56" i="17" s="1"/>
  <c r="F40" i="17"/>
  <c r="F56" i="17" s="1"/>
  <c r="G40" i="17"/>
  <c r="G56" i="17" s="1"/>
  <c r="C41" i="17"/>
  <c r="C57" i="17" s="1"/>
  <c r="D41" i="17"/>
  <c r="D57" i="17" s="1"/>
  <c r="E41" i="17"/>
  <c r="E57" i="17" s="1"/>
  <c r="H57" i="17" s="1"/>
  <c r="F41" i="17"/>
  <c r="F57" i="17" s="1"/>
  <c r="G41" i="17"/>
  <c r="G57" i="17" s="1"/>
  <c r="C42" i="17"/>
  <c r="C58" i="17" s="1"/>
  <c r="D42" i="17"/>
  <c r="D58" i="17" s="1"/>
  <c r="E42" i="17"/>
  <c r="E58" i="17" s="1"/>
  <c r="H58" i="17" s="1"/>
  <c r="F42" i="17"/>
  <c r="F58" i="17" s="1"/>
  <c r="G42" i="17"/>
  <c r="G58" i="17" s="1"/>
  <c r="C43" i="17"/>
  <c r="C59" i="17" s="1"/>
  <c r="D43" i="17"/>
  <c r="D59" i="17" s="1"/>
  <c r="E43" i="17"/>
  <c r="E59" i="17" s="1"/>
  <c r="H59" i="17" s="1"/>
  <c r="F43" i="17"/>
  <c r="F59" i="17" s="1"/>
  <c r="G43" i="17"/>
  <c r="G59" i="17" s="1"/>
  <c r="D31" i="17"/>
  <c r="D47" i="17" s="1"/>
  <c r="E31" i="17"/>
  <c r="E47" i="17" s="1"/>
  <c r="H47" i="17" s="1"/>
  <c r="F31" i="17"/>
  <c r="F47" i="17" s="1"/>
  <c r="G31" i="17"/>
  <c r="G47" i="17" s="1"/>
  <c r="G166" i="17" l="1"/>
  <c r="H145" i="17"/>
  <c r="H123" i="17"/>
  <c r="H166" i="17"/>
  <c r="H101" i="17"/>
  <c r="G123" i="17"/>
  <c r="G145" i="17"/>
  <c r="G101" i="17"/>
  <c r="G162" i="17"/>
  <c r="H141" i="17"/>
  <c r="H119" i="17"/>
  <c r="H162" i="17"/>
  <c r="H97" i="17"/>
  <c r="G119" i="17"/>
  <c r="G141" i="17"/>
  <c r="G97" i="17"/>
  <c r="G114" i="17"/>
  <c r="G136" i="17"/>
  <c r="H114" i="17"/>
  <c r="G157" i="17"/>
  <c r="H136" i="17"/>
  <c r="H92" i="17"/>
  <c r="H157" i="17"/>
  <c r="G92" i="17"/>
  <c r="J150" i="17"/>
  <c r="M165" i="17"/>
  <c r="L161" i="17"/>
  <c r="L164" i="17"/>
  <c r="M162" i="17"/>
  <c r="L165" i="17"/>
  <c r="O165" i="17" s="1"/>
  <c r="P165" i="17" s="1"/>
  <c r="M161" i="17"/>
  <c r="M157" i="17"/>
  <c r="L166" i="17"/>
  <c r="L162" i="17"/>
  <c r="L158" i="17"/>
  <c r="L155" i="17"/>
  <c r="L159" i="17"/>
  <c r="L163" i="17"/>
  <c r="M160" i="17"/>
  <c r="M154" i="17"/>
  <c r="M166" i="17"/>
  <c r="L157" i="17"/>
  <c r="M164" i="17"/>
  <c r="L160" i="17"/>
  <c r="L156" i="17"/>
  <c r="M156" i="17"/>
  <c r="L154" i="17"/>
  <c r="M159" i="17"/>
  <c r="M155" i="17"/>
  <c r="M163" i="17"/>
  <c r="M158" i="17"/>
  <c r="G122" i="17"/>
  <c r="G144" i="17"/>
  <c r="H122" i="17"/>
  <c r="G165" i="17"/>
  <c r="H144" i="17"/>
  <c r="H100" i="17"/>
  <c r="H165" i="17"/>
  <c r="G100" i="17"/>
  <c r="G118" i="17"/>
  <c r="G140" i="17"/>
  <c r="H118" i="17"/>
  <c r="H140" i="17"/>
  <c r="G161" i="17"/>
  <c r="H96" i="17"/>
  <c r="H161" i="17"/>
  <c r="G96" i="17"/>
  <c r="G156" i="17"/>
  <c r="H135" i="17"/>
  <c r="H156" i="17"/>
  <c r="G113" i="17"/>
  <c r="H91" i="17"/>
  <c r="H113" i="17"/>
  <c r="G91" i="17"/>
  <c r="G135" i="17"/>
  <c r="J85" i="17"/>
  <c r="M100" i="17"/>
  <c r="L101" i="17"/>
  <c r="M96" i="17"/>
  <c r="M92" i="17"/>
  <c r="L94" i="17"/>
  <c r="L90" i="17"/>
  <c r="L98" i="17"/>
  <c r="M99" i="17"/>
  <c r="M95" i="17"/>
  <c r="M91" i="17"/>
  <c r="L91" i="17"/>
  <c r="L92" i="17"/>
  <c r="L99" i="17"/>
  <c r="L95" i="17"/>
  <c r="L100" i="17"/>
  <c r="L96" i="17"/>
  <c r="M89" i="17"/>
  <c r="M94" i="17"/>
  <c r="M90" i="17"/>
  <c r="M98" i="17"/>
  <c r="M101" i="17"/>
  <c r="M97" i="17"/>
  <c r="M93" i="17"/>
  <c r="L97" i="17"/>
  <c r="L93" i="17"/>
  <c r="G164" i="17"/>
  <c r="H143" i="17"/>
  <c r="H164" i="17"/>
  <c r="G121" i="17"/>
  <c r="H99" i="17"/>
  <c r="H121" i="17"/>
  <c r="G99" i="17"/>
  <c r="G143" i="17"/>
  <c r="G160" i="17"/>
  <c r="H139" i="17"/>
  <c r="H160" i="17"/>
  <c r="G117" i="17"/>
  <c r="H95" i="17"/>
  <c r="H117" i="17"/>
  <c r="G95" i="17"/>
  <c r="G139" i="17"/>
  <c r="G134" i="17"/>
  <c r="G90" i="17"/>
  <c r="G112" i="17"/>
  <c r="G155" i="17"/>
  <c r="H134" i="17"/>
  <c r="H112" i="17"/>
  <c r="H155" i="17"/>
  <c r="H90" i="17"/>
  <c r="G142" i="17"/>
  <c r="G98" i="17"/>
  <c r="G120" i="17"/>
  <c r="G163" i="17"/>
  <c r="H142" i="17"/>
  <c r="H163" i="17"/>
  <c r="H120" i="17"/>
  <c r="H98" i="17"/>
  <c r="G158" i="17"/>
  <c r="H137" i="17"/>
  <c r="H115" i="17"/>
  <c r="H158" i="17"/>
  <c r="H93" i="17"/>
  <c r="G137" i="17"/>
  <c r="J137" i="17" s="1"/>
  <c r="K137" i="17" s="1"/>
  <c r="G115" i="17"/>
  <c r="G93" i="17"/>
  <c r="G111" i="17"/>
  <c r="H133" i="17"/>
  <c r="G89" i="17"/>
  <c r="H154" i="17"/>
  <c r="G133" i="17"/>
  <c r="H89" i="17"/>
  <c r="H111" i="17"/>
  <c r="G154" i="17"/>
  <c r="J154" i="17" s="1"/>
  <c r="K154" i="17" s="1"/>
  <c r="C31" i="17"/>
  <c r="C47" i="17" s="1"/>
  <c r="J91" i="17" l="1"/>
  <c r="K91" i="17" s="1"/>
  <c r="J163" i="17"/>
  <c r="K163" i="17" s="1"/>
  <c r="J139" i="17"/>
  <c r="K139" i="17" s="1"/>
  <c r="J117" i="17"/>
  <c r="K117" i="17" s="1"/>
  <c r="J143" i="17"/>
  <c r="K143" i="17" s="1"/>
  <c r="J121" i="17"/>
  <c r="K121" i="17" s="1"/>
  <c r="J133" i="17"/>
  <c r="K133" i="17" s="1"/>
  <c r="O101" i="17"/>
  <c r="P101" i="17" s="1"/>
  <c r="O91" i="17"/>
  <c r="P91" i="17" s="1"/>
  <c r="O90" i="17"/>
  <c r="P90" i="17" s="1"/>
  <c r="O154" i="17"/>
  <c r="P154" i="17" s="1"/>
  <c r="O157" i="17"/>
  <c r="P157" i="17" s="1"/>
  <c r="J115" i="17"/>
  <c r="K115" i="17" s="1"/>
  <c r="J155" i="17"/>
  <c r="K155" i="17" s="1"/>
  <c r="J111" i="17"/>
  <c r="K111" i="17" s="1"/>
  <c r="J158" i="17"/>
  <c r="K158" i="17" s="1"/>
  <c r="J134" i="17"/>
  <c r="K134" i="17" s="1"/>
  <c r="J160" i="17"/>
  <c r="K160" i="17" s="1"/>
  <c r="J164" i="17"/>
  <c r="K164" i="17" s="1"/>
  <c r="O97" i="17"/>
  <c r="P97" i="17" s="1"/>
  <c r="J135" i="17"/>
  <c r="K135" i="17" s="1"/>
  <c r="J113" i="17"/>
  <c r="K113" i="17" s="1"/>
  <c r="J96" i="17"/>
  <c r="K96" i="17" s="1"/>
  <c r="J100" i="17"/>
  <c r="K100" i="17" s="1"/>
  <c r="J141" i="17"/>
  <c r="K141" i="17" s="1"/>
  <c r="J145" i="17"/>
  <c r="K145" i="17" s="1"/>
  <c r="O100" i="17"/>
  <c r="P100" i="17" s="1"/>
  <c r="O98" i="17"/>
  <c r="P98" i="17" s="1"/>
  <c r="O155" i="17"/>
  <c r="P155" i="17" s="1"/>
  <c r="J97" i="17"/>
  <c r="K97" i="17" s="1"/>
  <c r="J101" i="17"/>
  <c r="K101" i="17" s="1"/>
  <c r="O162" i="17"/>
  <c r="P162" i="17" s="1"/>
  <c r="J136" i="17"/>
  <c r="K136" i="17" s="1"/>
  <c r="J119" i="17"/>
  <c r="K119" i="17" s="1"/>
  <c r="J123" i="17"/>
  <c r="K123" i="17" s="1"/>
  <c r="J98" i="17"/>
  <c r="K98" i="17" s="1"/>
  <c r="J90" i="17"/>
  <c r="K90" i="17" s="1"/>
  <c r="O93" i="17"/>
  <c r="P93" i="17" s="1"/>
  <c r="J156" i="17"/>
  <c r="K156" i="17" s="1"/>
  <c r="J161" i="17"/>
  <c r="K161" i="17" s="1"/>
  <c r="J118" i="17"/>
  <c r="K118" i="17" s="1"/>
  <c r="J122" i="17"/>
  <c r="K122" i="17" s="1"/>
  <c r="O160" i="17"/>
  <c r="P160" i="17" s="1"/>
  <c r="O164" i="17"/>
  <c r="P164" i="17" s="1"/>
  <c r="J92" i="17"/>
  <c r="K92" i="17" s="1"/>
  <c r="J157" i="17"/>
  <c r="K157" i="17" s="1"/>
  <c r="J165" i="17"/>
  <c r="K165" i="17" s="1"/>
  <c r="O158" i="17"/>
  <c r="P158" i="17" s="1"/>
  <c r="O161" i="17"/>
  <c r="P161" i="17" s="1"/>
  <c r="O95" i="17"/>
  <c r="P95" i="17" s="1"/>
  <c r="O163" i="17"/>
  <c r="P163" i="17" s="1"/>
  <c r="J142" i="17"/>
  <c r="K142" i="17" s="1"/>
  <c r="J93" i="17"/>
  <c r="K93" i="17" s="1"/>
  <c r="O94" i="17"/>
  <c r="P94" i="17" s="1"/>
  <c r="J89" i="17"/>
  <c r="K89" i="17" s="1"/>
  <c r="J120" i="17"/>
  <c r="K120" i="17" s="1"/>
  <c r="J112" i="17"/>
  <c r="K112" i="17" s="1"/>
  <c r="J95" i="17"/>
  <c r="K95" i="17" s="1"/>
  <c r="J99" i="17"/>
  <c r="K99" i="17" s="1"/>
  <c r="O96" i="17"/>
  <c r="P96" i="17" s="1"/>
  <c r="O92" i="17"/>
  <c r="P92" i="17" s="1"/>
  <c r="O99" i="17"/>
  <c r="P99" i="17" s="1"/>
  <c r="O89" i="17"/>
  <c r="P89" i="17" s="1"/>
  <c r="J140" i="17"/>
  <c r="K140" i="17" s="1"/>
  <c r="J144" i="17"/>
  <c r="K144" i="17" s="1"/>
  <c r="O156" i="17"/>
  <c r="P156" i="17" s="1"/>
  <c r="O159" i="17"/>
  <c r="P159" i="17" s="1"/>
  <c r="O166" i="17"/>
  <c r="P166" i="17" s="1"/>
  <c r="J114" i="17"/>
  <c r="K114" i="17" s="1"/>
  <c r="J162" i="17"/>
  <c r="K162" i="17" s="1"/>
  <c r="J166" i="17"/>
  <c r="K166" i="17" s="1"/>
  <c r="Q111" i="17" l="1"/>
  <c r="I18" i="24" l="1"/>
  <c r="I19" i="24"/>
  <c r="I20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I37" i="24"/>
  <c r="I38" i="24"/>
  <c r="I39" i="24"/>
  <c r="I40" i="24"/>
  <c r="I41" i="24"/>
  <c r="I42" i="24"/>
  <c r="I17" i="24"/>
  <c r="D18" i="24"/>
  <c r="H18" i="24" s="1"/>
  <c r="D19" i="24"/>
  <c r="H19" i="24" s="1"/>
  <c r="D20" i="24"/>
  <c r="H20" i="24" s="1"/>
  <c r="D22" i="24"/>
  <c r="H22" i="24" s="1"/>
  <c r="D23" i="24"/>
  <c r="H23" i="24" s="1"/>
  <c r="D24" i="24"/>
  <c r="H24" i="24" s="1"/>
  <c r="D25" i="24"/>
  <c r="D26" i="24"/>
  <c r="H26" i="24" s="1"/>
  <c r="D27" i="24"/>
  <c r="D28" i="24"/>
  <c r="H28" i="24" s="1"/>
  <c r="D29" i="24"/>
  <c r="H29" i="24" s="1"/>
  <c r="D30" i="24"/>
  <c r="H30" i="24" s="1"/>
  <c r="D31" i="24"/>
  <c r="D32" i="24"/>
  <c r="H32" i="24" s="1"/>
  <c r="D33" i="24"/>
  <c r="H33" i="24" s="1"/>
  <c r="D34" i="24"/>
  <c r="D35" i="24"/>
  <c r="D36" i="24"/>
  <c r="H36" i="24" s="1"/>
  <c r="D37" i="24"/>
  <c r="H37" i="24" s="1"/>
  <c r="D38" i="24"/>
  <c r="D39" i="24"/>
  <c r="H39" i="24" s="1"/>
  <c r="D40" i="24"/>
  <c r="H40" i="24" s="1"/>
  <c r="D41" i="24"/>
  <c r="H41" i="24" s="1"/>
  <c r="D42" i="24"/>
  <c r="H42" i="24" s="1"/>
  <c r="D17" i="24"/>
  <c r="H17" i="24" s="1"/>
  <c r="H21" i="24"/>
  <c r="I206" i="24" l="1"/>
  <c r="I173" i="24"/>
  <c r="I239" i="24"/>
  <c r="I140" i="24"/>
  <c r="I107" i="24"/>
  <c r="I235" i="24"/>
  <c r="I169" i="24"/>
  <c r="I202" i="24"/>
  <c r="I103" i="24"/>
  <c r="I136" i="24"/>
  <c r="I165" i="24"/>
  <c r="I198" i="24"/>
  <c r="I231" i="24"/>
  <c r="I132" i="24"/>
  <c r="I99" i="24"/>
  <c r="I194" i="24"/>
  <c r="I227" i="24"/>
  <c r="I161" i="24"/>
  <c r="I128" i="24"/>
  <c r="I95" i="24"/>
  <c r="I218" i="24"/>
  <c r="I185" i="24"/>
  <c r="I152" i="24"/>
  <c r="I86" i="24"/>
  <c r="I119" i="24"/>
  <c r="H207" i="24"/>
  <c r="H75" i="24"/>
  <c r="H240" i="24"/>
  <c r="H174" i="24"/>
  <c r="H141" i="24"/>
  <c r="H108" i="24"/>
  <c r="H236" i="24"/>
  <c r="H71" i="24"/>
  <c r="H170" i="24"/>
  <c r="H137" i="24"/>
  <c r="H104" i="24"/>
  <c r="H203" i="24"/>
  <c r="H166" i="24"/>
  <c r="H67" i="24"/>
  <c r="H232" i="24"/>
  <c r="H199" i="24"/>
  <c r="H133" i="24"/>
  <c r="H100" i="24"/>
  <c r="H63" i="24"/>
  <c r="H228" i="24"/>
  <c r="H195" i="24"/>
  <c r="H129" i="24"/>
  <c r="H96" i="24"/>
  <c r="H162" i="24"/>
  <c r="H224" i="24"/>
  <c r="H191" i="24"/>
  <c r="H59" i="24"/>
  <c r="H158" i="24"/>
  <c r="H125" i="24"/>
  <c r="H92" i="24"/>
  <c r="H55" i="24"/>
  <c r="H154" i="24"/>
  <c r="H121" i="24"/>
  <c r="H88" i="24"/>
  <c r="H220" i="24"/>
  <c r="H187" i="24"/>
  <c r="I205" i="24"/>
  <c r="I172" i="24"/>
  <c r="I106" i="24"/>
  <c r="I238" i="24"/>
  <c r="I139" i="24"/>
  <c r="I234" i="24"/>
  <c r="I168" i="24"/>
  <c r="I102" i="24"/>
  <c r="I201" i="24"/>
  <c r="I135" i="24"/>
  <c r="I164" i="24"/>
  <c r="I197" i="24"/>
  <c r="I98" i="24"/>
  <c r="I230" i="24"/>
  <c r="I131" i="24"/>
  <c r="I193" i="24"/>
  <c r="I226" i="24"/>
  <c r="I94" i="24"/>
  <c r="I160" i="24"/>
  <c r="I127" i="24"/>
  <c r="I189" i="24"/>
  <c r="I222" i="24"/>
  <c r="I156" i="24"/>
  <c r="I90" i="24"/>
  <c r="I123" i="24"/>
  <c r="I217" i="24"/>
  <c r="I184" i="24"/>
  <c r="I151" i="24"/>
  <c r="I85" i="24"/>
  <c r="I118" i="24"/>
  <c r="H173" i="24"/>
  <c r="J173" i="24" s="1"/>
  <c r="H239" i="24"/>
  <c r="J239" i="24" s="1"/>
  <c r="H140" i="24"/>
  <c r="H206" i="24"/>
  <c r="H107" i="24"/>
  <c r="H74" i="24"/>
  <c r="H235" i="24"/>
  <c r="J235" i="24" s="1"/>
  <c r="H169" i="24"/>
  <c r="J169" i="24" s="1"/>
  <c r="H202" i="24"/>
  <c r="J202" i="24" s="1"/>
  <c r="H136" i="24"/>
  <c r="H103" i="24"/>
  <c r="H70" i="24"/>
  <c r="H198" i="24"/>
  <c r="J198" i="24" s="1"/>
  <c r="H231" i="24"/>
  <c r="J231" i="24" s="1"/>
  <c r="H132" i="24"/>
  <c r="H165" i="24"/>
  <c r="J165" i="24" s="1"/>
  <c r="H66" i="24"/>
  <c r="H99" i="24"/>
  <c r="H194" i="24"/>
  <c r="H227" i="24"/>
  <c r="J227" i="24" s="1"/>
  <c r="H161" i="24"/>
  <c r="J161" i="24" s="1"/>
  <c r="H128" i="24"/>
  <c r="H95" i="24"/>
  <c r="H62" i="24"/>
  <c r="H223" i="24"/>
  <c r="H157" i="24"/>
  <c r="H124" i="24"/>
  <c r="H190" i="24"/>
  <c r="H58" i="24"/>
  <c r="H91" i="24"/>
  <c r="H152" i="24"/>
  <c r="H86" i="24"/>
  <c r="H119" i="24"/>
  <c r="H53" i="24"/>
  <c r="H218" i="24"/>
  <c r="H185" i="24"/>
  <c r="I149" i="24"/>
  <c r="I116" i="24"/>
  <c r="I215" i="24"/>
  <c r="I182" i="24"/>
  <c r="I83" i="24"/>
  <c r="I204" i="24"/>
  <c r="I237" i="24"/>
  <c r="I171" i="24"/>
  <c r="I138" i="24"/>
  <c r="I105" i="24"/>
  <c r="I188" i="24"/>
  <c r="I221" i="24"/>
  <c r="I89" i="24"/>
  <c r="I155" i="24"/>
  <c r="I122" i="24"/>
  <c r="I183" i="24"/>
  <c r="I84" i="24"/>
  <c r="I150" i="24"/>
  <c r="I216" i="24"/>
  <c r="I117" i="24"/>
  <c r="H106" i="24"/>
  <c r="H172" i="24"/>
  <c r="J172" i="24" s="1"/>
  <c r="H238" i="24"/>
  <c r="H139" i="24"/>
  <c r="H73" i="24"/>
  <c r="H205" i="24"/>
  <c r="J205" i="24" s="1"/>
  <c r="H234" i="24"/>
  <c r="H168" i="24"/>
  <c r="H102" i="24"/>
  <c r="H201" i="24"/>
  <c r="J201" i="24" s="1"/>
  <c r="H135" i="24"/>
  <c r="H69" i="24"/>
  <c r="H98" i="24"/>
  <c r="H197" i="24"/>
  <c r="J197" i="24" s="1"/>
  <c r="H230" i="24"/>
  <c r="H131" i="24"/>
  <c r="H65" i="24"/>
  <c r="H164" i="24"/>
  <c r="H193" i="24"/>
  <c r="H94" i="24"/>
  <c r="H226" i="24"/>
  <c r="J226" i="24" s="1"/>
  <c r="H160" i="24"/>
  <c r="H127" i="24"/>
  <c r="H61" i="24"/>
  <c r="J61" i="24" s="1"/>
  <c r="H222" i="24"/>
  <c r="H90" i="24"/>
  <c r="H156" i="24"/>
  <c r="H123" i="24"/>
  <c r="H57" i="24"/>
  <c r="H189" i="24"/>
  <c r="J189" i="24" s="1"/>
  <c r="H151" i="24"/>
  <c r="H118" i="24"/>
  <c r="H217" i="24"/>
  <c r="H184" i="24"/>
  <c r="H85" i="24"/>
  <c r="H52" i="24"/>
  <c r="I219" i="24"/>
  <c r="I186" i="24"/>
  <c r="I153" i="24"/>
  <c r="I120" i="24"/>
  <c r="I87" i="24"/>
  <c r="I108" i="24"/>
  <c r="J108" i="24" s="1"/>
  <c r="I207" i="24"/>
  <c r="J207" i="24" s="1"/>
  <c r="I240" i="24"/>
  <c r="I174" i="24"/>
  <c r="J174" i="24" s="1"/>
  <c r="I141" i="24"/>
  <c r="I162" i="24"/>
  <c r="J162" i="24" s="1"/>
  <c r="I96" i="24"/>
  <c r="I228" i="24"/>
  <c r="I195" i="24"/>
  <c r="J195" i="24" s="1"/>
  <c r="I129" i="24"/>
  <c r="I92" i="24"/>
  <c r="I224" i="24"/>
  <c r="I191" i="24"/>
  <c r="J191" i="24" s="1"/>
  <c r="I158" i="24"/>
  <c r="J158" i="24" s="1"/>
  <c r="I125" i="24"/>
  <c r="I220" i="24"/>
  <c r="I187" i="24"/>
  <c r="J187" i="24" s="1"/>
  <c r="I88" i="24"/>
  <c r="I154" i="24"/>
  <c r="J154" i="24" s="1"/>
  <c r="I121" i="24"/>
  <c r="H116" i="24"/>
  <c r="J116" i="24" s="1"/>
  <c r="H149" i="24"/>
  <c r="H215" i="24"/>
  <c r="J215" i="24" s="1"/>
  <c r="H182" i="24"/>
  <c r="H83" i="24"/>
  <c r="J83" i="24" s="1"/>
  <c r="H50" i="24"/>
  <c r="H237" i="24"/>
  <c r="J237" i="24" s="1"/>
  <c r="H171" i="24"/>
  <c r="H138" i="24"/>
  <c r="H204" i="24"/>
  <c r="H105" i="24"/>
  <c r="H72" i="24"/>
  <c r="H167" i="24"/>
  <c r="H200" i="24"/>
  <c r="H134" i="24"/>
  <c r="H233" i="24"/>
  <c r="H101" i="24"/>
  <c r="H68" i="24"/>
  <c r="H196" i="24"/>
  <c r="H229" i="24"/>
  <c r="H130" i="24"/>
  <c r="H163" i="24"/>
  <c r="H64" i="24"/>
  <c r="H97" i="24"/>
  <c r="H192" i="24"/>
  <c r="H225" i="24"/>
  <c r="H159" i="24"/>
  <c r="H126" i="24"/>
  <c r="H93" i="24"/>
  <c r="H60" i="24"/>
  <c r="H221" i="24"/>
  <c r="H155" i="24"/>
  <c r="H122" i="24"/>
  <c r="J122" i="24" s="1"/>
  <c r="H188" i="24"/>
  <c r="J188" i="24" s="1"/>
  <c r="H89" i="24"/>
  <c r="H56" i="24"/>
  <c r="H150" i="24"/>
  <c r="J150" i="24" s="1"/>
  <c r="H51" i="24"/>
  <c r="H216" i="24"/>
  <c r="J216" i="24" s="1"/>
  <c r="H117" i="24"/>
  <c r="H84" i="24"/>
  <c r="H183" i="24"/>
  <c r="I50" i="24"/>
  <c r="I62" i="24"/>
  <c r="I73" i="24"/>
  <c r="I69" i="24"/>
  <c r="I65" i="24"/>
  <c r="I61" i="24"/>
  <c r="I57" i="24"/>
  <c r="I52" i="24"/>
  <c r="I55" i="24"/>
  <c r="I72" i="24"/>
  <c r="I56" i="24"/>
  <c r="I51" i="24"/>
  <c r="J65" i="24"/>
  <c r="J119" i="24"/>
  <c r="I54" i="24"/>
  <c r="I63" i="24"/>
  <c r="I59" i="24"/>
  <c r="J96" i="24"/>
  <c r="J135" i="24"/>
  <c r="I75" i="24"/>
  <c r="I74" i="24"/>
  <c r="I70" i="24"/>
  <c r="I66" i="24"/>
  <c r="J66" i="24" s="1"/>
  <c r="I53" i="24"/>
  <c r="J140" i="24"/>
  <c r="J138" i="24"/>
  <c r="J136" i="24"/>
  <c r="J128" i="24"/>
  <c r="J118" i="24"/>
  <c r="H34" i="24"/>
  <c r="H25" i="24"/>
  <c r="H38" i="24"/>
  <c r="H27" i="24"/>
  <c r="H31" i="24"/>
  <c r="H35" i="24"/>
  <c r="J155" i="24" l="1"/>
  <c r="J171" i="24"/>
  <c r="J182" i="24"/>
  <c r="J222" i="24"/>
  <c r="J69" i="24"/>
  <c r="J183" i="24"/>
  <c r="J204" i="24"/>
  <c r="J151" i="24"/>
  <c r="J193" i="24"/>
  <c r="J230" i="24"/>
  <c r="J234" i="24"/>
  <c r="J238" i="24"/>
  <c r="J218" i="24"/>
  <c r="J152" i="24"/>
  <c r="J50" i="24"/>
  <c r="J185" i="24"/>
  <c r="J206" i="24"/>
  <c r="J194" i="24"/>
  <c r="J184" i="24"/>
  <c r="J168" i="24"/>
  <c r="J149" i="24"/>
  <c r="J156" i="24"/>
  <c r="J160" i="24"/>
  <c r="J164" i="24"/>
  <c r="J56" i="24"/>
  <c r="I93" i="24"/>
  <c r="J93" i="24" s="1"/>
  <c r="I192" i="24"/>
  <c r="J192" i="24" s="1"/>
  <c r="I225" i="24"/>
  <c r="J225" i="24" s="1"/>
  <c r="I159" i="24"/>
  <c r="I126" i="24"/>
  <c r="I203" i="24"/>
  <c r="J203" i="24" s="1"/>
  <c r="I104" i="24"/>
  <c r="I236" i="24"/>
  <c r="J236" i="24" s="1"/>
  <c r="I170" i="24"/>
  <c r="J170" i="24" s="1"/>
  <c r="I137" i="24"/>
  <c r="J137" i="24" s="1"/>
  <c r="J220" i="24"/>
  <c r="J240" i="24"/>
  <c r="I190" i="24"/>
  <c r="J190" i="24" s="1"/>
  <c r="I223" i="24"/>
  <c r="J223" i="24" s="1"/>
  <c r="I157" i="24"/>
  <c r="I124" i="24"/>
  <c r="I91" i="24"/>
  <c r="J159" i="24"/>
  <c r="J221" i="24"/>
  <c r="J217" i="24"/>
  <c r="I233" i="24"/>
  <c r="J233" i="24" s="1"/>
  <c r="I101" i="24"/>
  <c r="I167" i="24"/>
  <c r="I200" i="24"/>
  <c r="J200" i="24" s="1"/>
  <c r="I134" i="24"/>
  <c r="I163" i="24"/>
  <c r="J163" i="24" s="1"/>
  <c r="I97" i="24"/>
  <c r="I196" i="24"/>
  <c r="J196" i="24" s="1"/>
  <c r="I229" i="24"/>
  <c r="J229" i="24" s="1"/>
  <c r="I130" i="24"/>
  <c r="I100" i="24"/>
  <c r="I166" i="24"/>
  <c r="J166" i="24" s="1"/>
  <c r="I232" i="24"/>
  <c r="J232" i="24" s="1"/>
  <c r="I199" i="24"/>
  <c r="J199" i="24" s="1"/>
  <c r="I133" i="24"/>
  <c r="J133" i="24" s="1"/>
  <c r="J224" i="24"/>
  <c r="J167" i="24"/>
  <c r="J157" i="24"/>
  <c r="J228" i="24"/>
  <c r="J86" i="24"/>
  <c r="J117" i="24"/>
  <c r="J59" i="24"/>
  <c r="J84" i="24"/>
  <c r="J94" i="24"/>
  <c r="J88" i="24"/>
  <c r="J89" i="24"/>
  <c r="J105" i="24"/>
  <c r="J123" i="24"/>
  <c r="J131" i="24"/>
  <c r="J127" i="24"/>
  <c r="J139" i="24"/>
  <c r="J95" i="24"/>
  <c r="J51" i="24"/>
  <c r="J72" i="24"/>
  <c r="J92" i="24"/>
  <c r="J132" i="24"/>
  <c r="J103" i="24"/>
  <c r="J121" i="24"/>
  <c r="J129" i="24"/>
  <c r="J141" i="24"/>
  <c r="J125" i="24"/>
  <c r="J53" i="24"/>
  <c r="J52" i="24"/>
  <c r="J99" i="24"/>
  <c r="J85" i="24"/>
  <c r="J90" i="24"/>
  <c r="J106" i="24"/>
  <c r="J107" i="24"/>
  <c r="J55" i="24"/>
  <c r="J57" i="24"/>
  <c r="J73" i="24"/>
  <c r="J74" i="24"/>
  <c r="J63" i="24"/>
  <c r="J70" i="24"/>
  <c r="I64" i="24"/>
  <c r="J64" i="24" s="1"/>
  <c r="J97" i="24"/>
  <c r="J130" i="24"/>
  <c r="I67" i="24"/>
  <c r="J67" i="24" s="1"/>
  <c r="J100" i="24"/>
  <c r="J62" i="24"/>
  <c r="I60" i="24"/>
  <c r="J60" i="24" s="1"/>
  <c r="J126" i="24"/>
  <c r="I71" i="24"/>
  <c r="J71" i="24" s="1"/>
  <c r="J104" i="24"/>
  <c r="J98" i="24"/>
  <c r="I68" i="24"/>
  <c r="J68" i="24" s="1"/>
  <c r="J101" i="24"/>
  <c r="J134" i="24"/>
  <c r="I58" i="24"/>
  <c r="J58" i="24" s="1"/>
  <c r="J91" i="24"/>
  <c r="J124" i="24"/>
  <c r="J75" i="24"/>
  <c r="J102" i="24"/>
  <c r="Q164" i="17" l="1"/>
  <c r="Q162" i="17"/>
  <c r="Q93" i="17"/>
  <c r="Q98" i="17"/>
  <c r="Q136" i="17"/>
  <c r="Q141" i="17"/>
  <c r="Q91" i="17"/>
  <c r="Q96" i="17"/>
  <c r="Q92" i="17"/>
  <c r="Q158" i="17"/>
  <c r="Q163" i="17"/>
  <c r="Q90" i="17"/>
  <c r="Q118" i="17"/>
  <c r="Q100" i="17"/>
  <c r="Q133" i="17"/>
  <c r="Q134" i="17"/>
  <c r="Q140" i="17"/>
  <c r="Q123" i="17"/>
  <c r="Q137" i="17"/>
  <c r="Q142" i="17"/>
  <c r="Q113" i="17"/>
  <c r="Q145" i="17"/>
  <c r="Q154" i="17"/>
  <c r="Q156" i="17"/>
  <c r="Q165" i="17"/>
  <c r="Q114" i="17"/>
  <c r="Q89" i="17"/>
  <c r="Q101" i="17"/>
  <c r="Q161" i="17"/>
  <c r="Q121" i="17"/>
  <c r="Q144" i="17"/>
  <c r="Q97" i="17"/>
  <c r="Q135" i="17"/>
  <c r="Q166" i="17"/>
  <c r="Q115" i="17"/>
  <c r="Q120" i="17"/>
  <c r="Q143" i="17"/>
  <c r="Q112" i="17"/>
  <c r="Q119" i="17"/>
  <c r="Q155" i="17"/>
  <c r="Q122" i="17"/>
</calcChain>
</file>

<file path=xl/comments1.xml><?xml version="1.0" encoding="utf-8"?>
<comments xmlns="http://schemas.openxmlformats.org/spreadsheetml/2006/main">
  <authors>
    <author>Пользователь Windows</author>
  </authors>
  <commentList>
    <comment ref="K88" authorId="0">
      <text>
        <r>
          <rPr>
            <b/>
            <sz val="9"/>
            <color indexed="81"/>
            <rFont val="Tahoma"/>
            <family val="2"/>
            <charset val="204"/>
          </rPr>
          <t>Repeatability relative standard
deviation (RSDr) (%)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88" authorId="0">
      <text>
        <r>
          <rPr>
            <b/>
            <sz val="9"/>
            <color indexed="81"/>
            <rFont val="Tahoma"/>
            <family val="2"/>
            <charset val="204"/>
          </rPr>
          <t>Repeatability relative standard
deviation (RSDr) (%)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<sst xmlns="http://schemas.openxmlformats.org/spreadsheetml/2006/main" count="961" uniqueCount="137">
  <si>
    <t>Compound</t>
  </si>
  <si>
    <t>2-methyl-1-propanol</t>
  </si>
  <si>
    <t>acetaldehyde</t>
  </si>
  <si>
    <t>methyl acetate</t>
  </si>
  <si>
    <t>ethyl acetate</t>
  </si>
  <si>
    <t>methanol</t>
  </si>
  <si>
    <t>ethanol</t>
  </si>
  <si>
    <t>1st</t>
  </si>
  <si>
    <t>2nd</t>
  </si>
  <si>
    <t>Acetaldehyde</t>
  </si>
  <si>
    <t>Methyl acetate</t>
  </si>
  <si>
    <t>Ethyl acetate</t>
  </si>
  <si>
    <t>Acetal</t>
  </si>
  <si>
    <t>Methanol</t>
  </si>
  <si>
    <t>2-butanol</t>
  </si>
  <si>
    <t>1-propanol</t>
  </si>
  <si>
    <t>1-butanol</t>
  </si>
  <si>
    <t>2-methyl-1-butanol</t>
  </si>
  <si>
    <t>3-methyl-1-butanol</t>
  </si>
  <si>
    <t>3-pentanol (ISTD)</t>
  </si>
  <si>
    <t>Ethanol</t>
  </si>
  <si>
    <t xml:space="preserve"> 1st </t>
  </si>
  <si>
    <t xml:space="preserve">3rd </t>
  </si>
  <si>
    <t>Name of sample</t>
  </si>
  <si>
    <t>Name of standard solution, number of measurement, response, a. u.</t>
  </si>
  <si>
    <t>Concentration, mg/l AA</t>
  </si>
  <si>
    <t>ABV, %</t>
  </si>
  <si>
    <t>MIS</t>
  </si>
  <si>
    <t>TIS</t>
  </si>
  <si>
    <t>Density, mg/100 g</t>
  </si>
  <si>
    <t>Average</t>
  </si>
  <si>
    <t>Concentration of 3-pentanol (ISTD)</t>
  </si>
  <si>
    <t>Difference,  %</t>
  </si>
  <si>
    <t>Data entry cells are highlighted in green.</t>
  </si>
  <si>
    <r>
      <t>RRF</t>
    </r>
    <r>
      <rPr>
        <b/>
        <vertAlign val="superscript"/>
        <sz val="10"/>
        <color theme="1"/>
        <rFont val="Times New Roman"/>
        <family val="1"/>
        <charset val="204"/>
      </rPr>
      <t>ethanol</t>
    </r>
  </si>
  <si>
    <t>Density, mg/100 ml</t>
  </si>
  <si>
    <t>Modified Internal Standard (MIS) method</t>
  </si>
  <si>
    <t>Traditional Internal Standard (TIS) method</t>
  </si>
  <si>
    <t>2-octanol</t>
  </si>
  <si>
    <t>B-phenylethanol</t>
  </si>
  <si>
    <t>1-hexanol</t>
  </si>
  <si>
    <t>ethyl lactate</t>
  </si>
  <si>
    <t>acetic acid</t>
  </si>
  <si>
    <t>Name of standard solution, concentration [mg/l]</t>
  </si>
  <si>
    <t>Name of standard solution, concentration [mg/l AA]</t>
  </si>
  <si>
    <t>acetal</t>
  </si>
  <si>
    <t>ethyl butyrate</t>
  </si>
  <si>
    <t>butyl acetate</t>
  </si>
  <si>
    <t>ethyl hexanoate</t>
  </si>
  <si>
    <t>Synthetic standard solutions containing the known amount of volatile compounds for determination of RRF</t>
  </si>
  <si>
    <t>ethyl octanoate</t>
  </si>
  <si>
    <t>ethyl glycolate</t>
  </si>
  <si>
    <t>linalool</t>
  </si>
  <si>
    <t>ethyl decanoate</t>
  </si>
  <si>
    <t>diethyl succinate</t>
  </si>
  <si>
    <t>furfurol alcohol</t>
  </si>
  <si>
    <t>ethyl 2-trans</t>
  </si>
  <si>
    <t>mg/l</t>
  </si>
  <si>
    <t>mg/l AA</t>
  </si>
  <si>
    <r>
      <t>RRF</t>
    </r>
    <r>
      <rPr>
        <b/>
        <vertAlign val="superscript"/>
        <sz val="10"/>
        <color theme="1"/>
        <rFont val="Times New Roman"/>
        <family val="1"/>
        <charset val="204"/>
      </rPr>
      <t>2-oktanol</t>
    </r>
  </si>
  <si>
    <t>3rd</t>
  </si>
  <si>
    <t>Concentration IS, mg/l</t>
  </si>
  <si>
    <t>Sample name</t>
  </si>
  <si>
    <t>%</t>
  </si>
  <si>
    <t>Difference</t>
  </si>
  <si>
    <t>Standard Solution for calibration</t>
  </si>
  <si>
    <t>Heads_D1</t>
  </si>
  <si>
    <t>Heads_D2</t>
  </si>
  <si>
    <t>Heads_D3</t>
  </si>
  <si>
    <t>Hearts_D2</t>
  </si>
  <si>
    <t>Hearts_D1</t>
  </si>
  <si>
    <r>
      <t>Name of standard solution, concentration [</t>
    </r>
    <r>
      <rPr>
        <sz val="10"/>
        <color theme="1"/>
        <rFont val="Calibri"/>
        <family val="2"/>
        <charset val="204"/>
      </rPr>
      <t>µ</t>
    </r>
    <r>
      <rPr>
        <sz val="10"/>
        <color theme="1"/>
        <rFont val="Times New Roman"/>
        <family val="1"/>
        <charset val="204"/>
      </rPr>
      <t>g/g]</t>
    </r>
  </si>
  <si>
    <t>Density, mg/l</t>
  </si>
  <si>
    <t>Hearts_D3</t>
  </si>
  <si>
    <t>Standard solutions "0.1", "0.5", "1.0", "1.5", "2.0"</t>
  </si>
  <si>
    <t>Name of SS, number of measurement, response, a. u.</t>
  </si>
  <si>
    <r>
      <t>RRF</t>
    </r>
    <r>
      <rPr>
        <b/>
        <vertAlign val="superscript"/>
        <sz val="10"/>
        <rFont val="Times New Roman"/>
        <family val="1"/>
        <charset val="204"/>
      </rPr>
      <t>ethanol</t>
    </r>
  </si>
  <si>
    <r>
      <t>RRF</t>
    </r>
    <r>
      <rPr>
        <b/>
        <vertAlign val="superscript"/>
        <sz val="10"/>
        <rFont val="Times New Roman"/>
        <family val="1"/>
        <charset val="204"/>
      </rPr>
      <t>3-pentanol</t>
    </r>
  </si>
  <si>
    <t>`</t>
  </si>
  <si>
    <t>Brandy from 10-09-2026</t>
  </si>
  <si>
    <t>Rakia from 10-09-2026</t>
  </si>
  <si>
    <t>Whiskey from 10-09-2026</t>
  </si>
  <si>
    <t>Wine from 10-09-2026</t>
  </si>
  <si>
    <t>RSDr, %</t>
  </si>
  <si>
    <t>mg/l =</t>
  </si>
  <si>
    <t>mg/l AA =</t>
  </si>
  <si>
    <r>
      <rPr>
        <sz val="10"/>
        <color theme="1"/>
        <rFont val="Calibri"/>
        <family val="2"/>
        <charset val="204"/>
      </rPr>
      <t>µ</t>
    </r>
    <r>
      <rPr>
        <sz val="10"/>
        <color theme="1"/>
        <rFont val="Times New Roman"/>
        <family val="1"/>
        <charset val="204"/>
      </rPr>
      <t>g/g =</t>
    </r>
  </si>
  <si>
    <t>In the cell range B78:Q97, the quantitative content of volatile components in the tested alcoholic beverage samples is calculated using two methods, and a comparative analysis of the obtained results is performed.</t>
  </si>
  <si>
    <t xml:space="preserve">In the cell range B6:Q72, calibration characteristics are calculated using two methods.                               </t>
  </si>
  <si>
    <t>Number of measurement, response, a. u.</t>
  </si>
  <si>
    <r>
      <t xml:space="preserve">     Samples of collected fractions were adjusted to 40 % in ethanol (v/v) by adding Milli-Q water or ethanol  to a final volume of 1 mL. In addition, 50 µL of internal standard solution (390 mg/L of 2-octanol) were added to the sample. 2 µL were injected in split mode (1:5). The concentrations were calculated by interpolation of the relative areas into calibration graphs built by injection of synthetic solutions containing the respective commercial standards.  Concentration of 2-octanol in sample is  </t>
    </r>
    <r>
      <rPr>
        <b/>
        <sz val="10"/>
        <color theme="1"/>
        <rFont val="Times New Roman"/>
        <family val="1"/>
        <charset val="204"/>
      </rPr>
      <t xml:space="preserve">19.5 mg/L and   48.75 mg/L AA. </t>
    </r>
    <r>
      <rPr>
        <sz val="10"/>
        <color theme="1"/>
        <rFont val="Times New Roman"/>
        <family val="1"/>
        <charset val="204"/>
      </rPr>
      <t xml:space="preserve"> </t>
    </r>
  </si>
  <si>
    <t>Cells exceeding permissible parameters are highlighted in yellow.</t>
  </si>
  <si>
    <t>Any coincidences in sample designations, detector response values, or volatile component concentrations are purely coincidental.</t>
  </si>
  <si>
    <t>The data presented are purely illustrative in nature.</t>
  </si>
  <si>
    <t>S</t>
  </si>
  <si>
    <t>ml</t>
  </si>
  <si>
    <t>3-pentanol (IS)</t>
  </si>
  <si>
    <t>total amount</t>
  </si>
  <si>
    <t>g</t>
  </si>
  <si>
    <t>Purity, %</t>
  </si>
  <si>
    <t>Density, g/ml</t>
  </si>
  <si>
    <t>water-ethanol solution</t>
  </si>
  <si>
    <r>
      <rPr>
        <sz val="11"/>
        <color theme="1"/>
        <rFont val="Calibri"/>
        <family val="2"/>
        <charset val="204"/>
      </rPr>
      <t>µ</t>
    </r>
    <r>
      <rPr>
        <sz val="11"/>
        <color theme="1"/>
        <rFont val="Calibri"/>
        <family val="2"/>
        <charset val="162"/>
        <scheme val="minor"/>
      </rPr>
      <t>g/g</t>
    </r>
  </si>
  <si>
    <t>Standard solution - A</t>
  </si>
  <si>
    <t>Standard solution - C</t>
  </si>
  <si>
    <t>No.</t>
  </si>
  <si>
    <t>(3 ml of  12"VOC" + 67 ml of  WES)</t>
  </si>
  <si>
    <t>(1 ml of "A" + 99 ml of "WES")</t>
  </si>
  <si>
    <t>Syandad Solution "X"</t>
  </si>
  <si>
    <t>Syandad Solution "A"</t>
  </si>
  <si>
    <r>
      <rPr>
        <sz val="11"/>
        <color theme="1"/>
        <rFont val="Calibri"/>
        <family val="2"/>
        <charset val="204"/>
      </rPr>
      <t>µ</t>
    </r>
    <r>
      <rPr>
        <sz val="11"/>
        <color theme="1"/>
        <rFont val="Calibri"/>
        <family val="2"/>
        <charset val="162"/>
        <scheme val="minor"/>
      </rPr>
      <t>g</t>
    </r>
  </si>
  <si>
    <t>Standard solution - D</t>
  </si>
  <si>
    <t>Standard solution - 0.0</t>
  </si>
  <si>
    <t>(0.0 ml of "A" + 100 ml of "WES")</t>
  </si>
  <si>
    <t>Re-preparation of  C</t>
  </si>
  <si>
    <t>To check the linearity of response of FID</t>
  </si>
  <si>
    <t>Standard solution - 0.1</t>
  </si>
  <si>
    <t>Standard solution - 0.5</t>
  </si>
  <si>
    <t>(0.1 ml of "A" + 99.9 ml of "WES")</t>
  </si>
  <si>
    <t>(0.5 ml of "A" + 99.5 ml of "WES")</t>
  </si>
  <si>
    <t>(1.0 ml of "A" + 99 ml of "WES")</t>
  </si>
  <si>
    <t>Standard solution - 1.0</t>
  </si>
  <si>
    <t>Standard solution - 2.0</t>
  </si>
  <si>
    <t>(2.0 ml of "A" + 98 ml of "WES")</t>
  </si>
  <si>
    <t>OIV-MA-BS-14</t>
  </si>
  <si>
    <t>OENO-SCMA 24-756 Et6</t>
  </si>
  <si>
    <t>(2 ml of  12"VOC" + 78 ml of  WES)</t>
  </si>
  <si>
    <t>Standard solution - B</t>
  </si>
  <si>
    <t>(5 ml of "A" + 95 ml of "WES")</t>
  </si>
  <si>
    <t>QC standard solution</t>
  </si>
  <si>
    <t>Standard solution - 5.0</t>
  </si>
  <si>
    <t>Standard solution - 30.0</t>
  </si>
  <si>
    <t>Standard solution - QC</t>
  </si>
  <si>
    <t>(4.5 ml of "A" + 94.5 ml of "WES")</t>
  </si>
  <si>
    <t>(5.0 ml of "A" + 95.0 ml of "WES")</t>
  </si>
  <si>
    <t>(30.0 ml of "A" + 70 ml of "WES")</t>
  </si>
  <si>
    <t>Re-preparation of 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</si>
</sst>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"/>
    <numFmt numFmtId="166" formatCode="0.000"/>
    <numFmt numFmtId="167" formatCode="0.00000"/>
  </numFmts>
  <fonts count="42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162"/>
      <scheme val="minor"/>
    </font>
    <font>
      <b/>
      <vertAlign val="superscript"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204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9"/>
      <color indexed="17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</font>
    <font>
      <sz val="10"/>
      <color theme="0" tint="-4.9989318521683403E-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767676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BFE9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166" fontId="2" fillId="0" borderId="0" xfId="0" applyNumberFormat="1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5" fontId="2" fillId="0" borderId="8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2" fontId="2" fillId="4" borderId="0" xfId="0" applyNumberFormat="1" applyFont="1" applyFill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9" fillId="0" borderId="10" xfId="0" applyNumberFormat="1" applyFont="1" applyBorder="1" applyAlignment="1">
      <alignment horizontal="center" vertical="center"/>
    </xf>
    <xf numFmtId="165" fontId="2" fillId="0" borderId="8" xfId="0" applyNumberFormat="1" applyFont="1" applyBorder="1"/>
    <xf numFmtId="165" fontId="2" fillId="0" borderId="9" xfId="0" applyNumberFormat="1" applyFont="1" applyBorder="1"/>
    <xf numFmtId="0" fontId="0" fillId="0" borderId="12" xfId="0" applyBorder="1"/>
    <xf numFmtId="164" fontId="4" fillId="4" borderId="0" xfId="0" applyNumberFormat="1" applyFont="1" applyFill="1" applyBorder="1"/>
    <xf numFmtId="0" fontId="2" fillId="4" borderId="0" xfId="0" applyFont="1" applyFill="1"/>
    <xf numFmtId="0" fontId="2" fillId="0" borderId="0" xfId="0" applyFont="1" applyFill="1"/>
    <xf numFmtId="0" fontId="2" fillId="0" borderId="0" xfId="0" applyFont="1"/>
    <xf numFmtId="165" fontId="2" fillId="4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2" fontId="2" fillId="0" borderId="0" xfId="0" applyNumberFormat="1" applyFont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6" fontId="2" fillId="4" borderId="0" xfId="0" applyNumberFormat="1" applyFont="1" applyFill="1" applyBorder="1" applyAlignment="1">
      <alignment horizontal="center" vertical="center"/>
    </xf>
    <xf numFmtId="166" fontId="2" fillId="4" borderId="9" xfId="0" applyNumberFormat="1" applyFont="1" applyFill="1" applyBorder="1" applyAlignment="1">
      <alignment horizontal="center" vertical="center"/>
    </xf>
    <xf numFmtId="166" fontId="2" fillId="4" borderId="11" xfId="0" applyNumberFormat="1" applyFont="1" applyFill="1" applyBorder="1" applyAlignment="1">
      <alignment horizontal="center" vertical="center"/>
    </xf>
    <xf numFmtId="166" fontId="2" fillId="4" borderId="1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2" fontId="3" fillId="0" borderId="0" xfId="0" applyNumberFormat="1" applyFont="1"/>
    <xf numFmtId="164" fontId="4" fillId="4" borderId="0" xfId="0" applyNumberFormat="1" applyFont="1" applyFill="1" applyBorder="1" applyAlignment="1">
      <alignment horizontal="center" vertical="center"/>
    </xf>
    <xf numFmtId="165" fontId="4" fillId="4" borderId="0" xfId="0" applyNumberFormat="1" applyFont="1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/>
    </xf>
    <xf numFmtId="165" fontId="3" fillId="4" borderId="8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6" fontId="3" fillId="4" borderId="0" xfId="0" applyNumberFormat="1" applyFont="1" applyFill="1" applyAlignment="1">
      <alignment horizontal="center" vertical="center"/>
    </xf>
    <xf numFmtId="166" fontId="3" fillId="4" borderId="5" xfId="0" applyNumberFormat="1" applyFont="1" applyFill="1" applyBorder="1" applyAlignment="1">
      <alignment horizontal="center" vertical="center"/>
    </xf>
    <xf numFmtId="166" fontId="3" fillId="4" borderId="8" xfId="0" applyNumberFormat="1" applyFont="1" applyFill="1" applyBorder="1" applyAlignment="1">
      <alignment horizontal="center" vertical="center"/>
    </xf>
    <xf numFmtId="166" fontId="3" fillId="4" borderId="10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0" fontId="2" fillId="5" borderId="0" xfId="0" applyFont="1" applyFill="1"/>
    <xf numFmtId="166" fontId="2" fillId="4" borderId="0" xfId="0" applyNumberFormat="1" applyFont="1" applyFill="1" applyAlignment="1">
      <alignment horizontal="center" vertical="center"/>
    </xf>
    <xf numFmtId="2" fontId="2" fillId="0" borderId="0" xfId="0" applyNumberFormat="1" applyFont="1" applyBorder="1"/>
    <xf numFmtId="0" fontId="3" fillId="0" borderId="0" xfId="0" applyFont="1" applyBorder="1"/>
    <xf numFmtId="1" fontId="2" fillId="0" borderId="0" xfId="0" applyNumberFormat="1" applyFont="1" applyBorder="1"/>
    <xf numFmtId="0" fontId="2" fillId="0" borderId="11" xfId="0" applyFont="1" applyBorder="1"/>
    <xf numFmtId="166" fontId="10" fillId="0" borderId="0" xfId="0" applyNumberFormat="1" applyFont="1" applyAlignment="1">
      <alignment horizontal="center"/>
    </xf>
    <xf numFmtId="2" fontId="2" fillId="0" borderId="0" xfId="0" applyNumberFormat="1" applyFont="1" applyFill="1" applyBorder="1"/>
    <xf numFmtId="0" fontId="3" fillId="0" borderId="0" xfId="0" applyFont="1" applyFill="1" applyBorder="1"/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5" fontId="2" fillId="0" borderId="9" xfId="0" applyNumberFormat="1" applyFont="1" applyFill="1" applyBorder="1" applyAlignment="1">
      <alignment horizontal="center" vertical="center"/>
    </xf>
    <xf numFmtId="0" fontId="3" fillId="0" borderId="6" xfId="0" applyFont="1" applyBorder="1"/>
    <xf numFmtId="166" fontId="10" fillId="0" borderId="0" xfId="0" applyNumberFormat="1" applyFont="1" applyAlignment="1">
      <alignment horizontal="left"/>
    </xf>
    <xf numFmtId="0" fontId="9" fillId="4" borderId="0" xfId="0" applyFont="1" applyFill="1" applyAlignment="1">
      <alignment horizontal="left" vertical="center"/>
    </xf>
    <xf numFmtId="2" fontId="2" fillId="0" borderId="0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center" vertical="center"/>
    </xf>
    <xf numFmtId="1" fontId="3" fillId="0" borderId="0" xfId="0" applyNumberFormat="1" applyFont="1" applyBorder="1"/>
    <xf numFmtId="0" fontId="2" fillId="0" borderId="6" xfId="0" applyFont="1" applyBorder="1"/>
    <xf numFmtId="2" fontId="3" fillId="4" borderId="8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4" borderId="11" xfId="0" applyNumberFormat="1" applyFont="1" applyFill="1" applyBorder="1" applyAlignment="1">
      <alignment horizontal="center" vertical="center"/>
    </xf>
    <xf numFmtId="164" fontId="4" fillId="5" borderId="0" xfId="0" applyNumberFormat="1" applyFont="1" applyFill="1" applyBorder="1"/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2" fontId="3" fillId="0" borderId="0" xfId="0" applyNumberFormat="1" applyFont="1" applyBorder="1"/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1" fontId="2" fillId="4" borderId="0" xfId="0" applyNumberFormat="1" applyFont="1" applyFill="1" applyAlignment="1">
      <alignment horizontal="center" vertical="center"/>
    </xf>
    <xf numFmtId="0" fontId="0" fillId="0" borderId="0" xfId="0" applyFill="1" applyBorder="1"/>
    <xf numFmtId="0" fontId="2" fillId="0" borderId="2" xfId="0" applyFont="1" applyBorder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166" fontId="9" fillId="0" borderId="7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6" fontId="9" fillId="0" borderId="12" xfId="0" applyNumberFormat="1" applyFont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0" fontId="0" fillId="0" borderId="11" xfId="0" applyBorder="1"/>
    <xf numFmtId="2" fontId="2" fillId="0" borderId="6" xfId="0" applyNumberFormat="1" applyFont="1" applyBorder="1" applyAlignment="1">
      <alignment horizontal="center" vertical="center"/>
    </xf>
    <xf numFmtId="0" fontId="0" fillId="0" borderId="9" xfId="0" applyBorder="1"/>
    <xf numFmtId="2" fontId="2" fillId="0" borderId="5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21" fillId="0" borderId="0" xfId="0" applyFont="1"/>
    <xf numFmtId="2" fontId="2" fillId="0" borderId="10" xfId="0" applyNumberFormat="1" applyFont="1" applyBorder="1" applyAlignment="1">
      <alignment horizontal="center" vertical="center"/>
    </xf>
    <xf numFmtId="0" fontId="12" fillId="0" borderId="0" xfId="0" applyFont="1" applyBorder="1"/>
    <xf numFmtId="0" fontId="22" fillId="0" borderId="0" xfId="0" applyFont="1"/>
    <xf numFmtId="0" fontId="9" fillId="0" borderId="0" xfId="0" applyFont="1" applyBorder="1" applyAlignment="1">
      <alignment horizontal="center" vertical="center"/>
    </xf>
    <xf numFmtId="0" fontId="25" fillId="0" borderId="3" xfId="0" applyFont="1" applyBorder="1"/>
    <xf numFmtId="0" fontId="23" fillId="0" borderId="3" xfId="0" applyFont="1" applyBorder="1"/>
    <xf numFmtId="0" fontId="26" fillId="0" borderId="3" xfId="0" applyFont="1" applyBorder="1"/>
    <xf numFmtId="0" fontId="23" fillId="0" borderId="4" xfId="0" applyFont="1" applyBorder="1"/>
    <xf numFmtId="0" fontId="22" fillId="0" borderId="1" xfId="0" applyFont="1" applyBorder="1"/>
    <xf numFmtId="0" fontId="0" fillId="0" borderId="1" xfId="0" applyBorder="1" applyAlignment="1">
      <alignment horizontal="center" vertical="center"/>
    </xf>
    <xf numFmtId="166" fontId="25" fillId="4" borderId="5" xfId="0" applyNumberFormat="1" applyFont="1" applyFill="1" applyBorder="1"/>
    <xf numFmtId="166" fontId="25" fillId="4" borderId="6" xfId="0" applyNumberFormat="1" applyFont="1" applyFill="1" applyBorder="1"/>
    <xf numFmtId="166" fontId="25" fillId="4" borderId="8" xfId="0" applyNumberFormat="1" applyFont="1" applyFill="1" applyBorder="1"/>
    <xf numFmtId="166" fontId="25" fillId="4" borderId="0" xfId="0" applyNumberFormat="1" applyFont="1" applyFill="1" applyBorder="1"/>
    <xf numFmtId="166" fontId="26" fillId="4" borderId="8" xfId="0" applyNumberFormat="1" applyFont="1" applyFill="1" applyBorder="1"/>
    <xf numFmtId="166" fontId="26" fillId="4" borderId="0" xfId="0" applyNumberFormat="1" applyFont="1" applyFill="1" applyBorder="1"/>
    <xf numFmtId="166" fontId="25" fillId="4" borderId="10" xfId="0" applyNumberFormat="1" applyFont="1" applyFill="1" applyBorder="1"/>
    <xf numFmtId="166" fontId="25" fillId="4" borderId="11" xfId="0" applyNumberFormat="1" applyFont="1" applyFill="1" applyBorder="1"/>
    <xf numFmtId="0" fontId="2" fillId="0" borderId="13" xfId="0" applyFont="1" applyBorder="1"/>
    <xf numFmtId="0" fontId="2" fillId="0" borderId="14" xfId="0" applyFont="1" applyBorder="1"/>
    <xf numFmtId="165" fontId="2" fillId="4" borderId="15" xfId="0" applyNumberFormat="1" applyFont="1" applyFill="1" applyBorder="1" applyAlignment="1">
      <alignment horizontal="center" vertical="center"/>
    </xf>
    <xf numFmtId="0" fontId="23" fillId="0" borderId="0" xfId="0" applyFont="1" applyBorder="1"/>
    <xf numFmtId="166" fontId="31" fillId="4" borderId="8" xfId="0" applyNumberFormat="1" applyFont="1" applyFill="1" applyBorder="1"/>
    <xf numFmtId="166" fontId="31" fillId="4" borderId="0" xfId="0" applyNumberFormat="1" applyFont="1" applyFill="1" applyBorder="1"/>
    <xf numFmtId="0" fontId="0" fillId="4" borderId="0" xfId="0" applyFill="1" applyBorder="1"/>
    <xf numFmtId="166" fontId="4" fillId="4" borderId="0" xfId="0" applyNumberFormat="1" applyFon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6" fontId="28" fillId="4" borderId="0" xfId="0" applyNumberFormat="1" applyFont="1" applyFill="1" applyBorder="1" applyAlignment="1">
      <alignment horizontal="center"/>
    </xf>
    <xf numFmtId="1" fontId="29" fillId="4" borderId="0" xfId="0" applyNumberFormat="1" applyFont="1" applyFill="1" applyBorder="1" applyAlignment="1">
      <alignment horizontal="center"/>
    </xf>
    <xf numFmtId="166" fontId="24" fillId="4" borderId="0" xfId="0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right"/>
    </xf>
    <xf numFmtId="166" fontId="30" fillId="4" borderId="0" xfId="0" applyNumberFormat="1" applyFont="1" applyFill="1" applyBorder="1" applyAlignment="1">
      <alignment horizontal="right"/>
    </xf>
    <xf numFmtId="166" fontId="24" fillId="4" borderId="11" xfId="0" applyNumberFormat="1" applyFont="1" applyFill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0" fontId="12" fillId="0" borderId="5" xfId="0" applyFont="1" applyBorder="1"/>
    <xf numFmtId="0" fontId="0" fillId="0" borderId="0" xfId="0" applyAlignment="1">
      <alignment horizontal="left" vertical="center" wrapText="1"/>
    </xf>
    <xf numFmtId="166" fontId="28" fillId="0" borderId="0" xfId="0" applyNumberFormat="1" applyFont="1" applyFill="1" applyBorder="1" applyAlignment="1">
      <alignment horizontal="right"/>
    </xf>
    <xf numFmtId="0" fontId="25" fillId="4" borderId="0" xfId="0" applyFont="1" applyFill="1" applyBorder="1"/>
    <xf numFmtId="166" fontId="24" fillId="3" borderId="0" xfId="0" applyNumberFormat="1" applyFont="1" applyFill="1" applyBorder="1" applyAlignment="1">
      <alignment horizontal="right"/>
    </xf>
    <xf numFmtId="166" fontId="0" fillId="3" borderId="0" xfId="0" applyNumberFormat="1" applyFill="1" applyBorder="1" applyAlignment="1">
      <alignment horizontal="right"/>
    </xf>
    <xf numFmtId="166" fontId="25" fillId="3" borderId="0" xfId="0" applyNumberFormat="1" applyFont="1" applyFill="1" applyBorder="1"/>
    <xf numFmtId="0" fontId="25" fillId="3" borderId="0" xfId="0" applyFont="1" applyFill="1" applyBorder="1"/>
    <xf numFmtId="166" fontId="0" fillId="0" borderId="11" xfId="0" applyNumberFormat="1" applyFill="1" applyBorder="1" applyAlignment="1">
      <alignment horizontal="right"/>
    </xf>
    <xf numFmtId="0" fontId="2" fillId="0" borderId="10" xfId="0" applyFont="1" applyBorder="1"/>
    <xf numFmtId="0" fontId="16" fillId="4" borderId="0" xfId="0" applyFont="1" applyFill="1" applyBorder="1" applyAlignment="1">
      <alignment horizontal="center" vertical="center"/>
    </xf>
    <xf numFmtId="0" fontId="32" fillId="0" borderId="5" xfId="0" applyFont="1" applyBorder="1"/>
    <xf numFmtId="0" fontId="12" fillId="0" borderId="8" xfId="0" applyFont="1" applyBorder="1"/>
    <xf numFmtId="0" fontId="16" fillId="4" borderId="9" xfId="0" applyFont="1" applyFill="1" applyBorder="1" applyAlignment="1">
      <alignment horizontal="center" vertical="center"/>
    </xf>
    <xf numFmtId="166" fontId="4" fillId="4" borderId="6" xfId="0" applyNumberFormat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 vertical="center"/>
    </xf>
    <xf numFmtId="166" fontId="0" fillId="4" borderId="11" xfId="0" applyNumberFormat="1" applyFill="1" applyBorder="1" applyAlignment="1">
      <alignment horizontal="center"/>
    </xf>
    <xf numFmtId="0" fontId="0" fillId="4" borderId="11" xfId="0" applyFill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5" fillId="4" borderId="6" xfId="0" applyFont="1" applyFill="1" applyBorder="1"/>
    <xf numFmtId="0" fontId="26" fillId="4" borderId="0" xfId="0" applyFont="1" applyFill="1" applyBorder="1"/>
    <xf numFmtId="0" fontId="27" fillId="4" borderId="0" xfId="0" applyFont="1" applyFill="1" applyBorder="1"/>
    <xf numFmtId="0" fontId="25" fillId="4" borderId="11" xfId="0" applyFont="1" applyFill="1" applyBorder="1"/>
    <xf numFmtId="165" fontId="9" fillId="4" borderId="1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166" fontId="3" fillId="4" borderId="6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0" fontId="6" fillId="0" borderId="0" xfId="0" applyFont="1" applyBorder="1"/>
    <xf numFmtId="165" fontId="33" fillId="0" borderId="0" xfId="0" applyNumberFormat="1" applyFont="1" applyFill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/>
    <xf numFmtId="165" fontId="2" fillId="0" borderId="2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5" fontId="4" fillId="4" borderId="9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2" fillId="3" borderId="9" xfId="0" applyNumberFormat="1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0" fontId="3" fillId="0" borderId="11" xfId="0" applyFont="1" applyBorder="1"/>
    <xf numFmtId="164" fontId="4" fillId="3" borderId="0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/>
    </xf>
    <xf numFmtId="166" fontId="3" fillId="3" borderId="0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2" fontId="2" fillId="0" borderId="15" xfId="0" applyNumberFormat="1" applyFont="1" applyFill="1" applyBorder="1" applyAlignment="1">
      <alignment horizontal="left"/>
    </xf>
    <xf numFmtId="2" fontId="2" fillId="0" borderId="15" xfId="0" applyNumberFormat="1" applyFont="1" applyFill="1" applyBorder="1" applyAlignment="1">
      <alignment horizontal="left" vertical="center"/>
    </xf>
    <xf numFmtId="2" fontId="2" fillId="4" borderId="15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166" fontId="2" fillId="0" borderId="15" xfId="0" applyNumberFormat="1" applyFont="1" applyFill="1" applyBorder="1" applyAlignment="1">
      <alignment horizontal="left"/>
    </xf>
    <xf numFmtId="0" fontId="2" fillId="0" borderId="13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13" xfId="0" applyFont="1" applyBorder="1" applyAlignment="1">
      <alignment horizontal="left" vertical="center"/>
    </xf>
    <xf numFmtId="0" fontId="37" fillId="0" borderId="5" xfId="0" applyFont="1" applyBorder="1"/>
    <xf numFmtId="0" fontId="38" fillId="0" borderId="8" xfId="0" applyFont="1" applyBorder="1"/>
    <xf numFmtId="0" fontId="37" fillId="0" borderId="8" xfId="0" applyFont="1" applyBorder="1"/>
    <xf numFmtId="0" fontId="13" fillId="0" borderId="8" xfId="0" applyFont="1" applyBorder="1"/>
    <xf numFmtId="0" fontId="37" fillId="0" borderId="10" xfId="0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5" fontId="2" fillId="0" borderId="7" xfId="0" applyNumberFormat="1" applyFont="1" applyBorder="1"/>
    <xf numFmtId="165" fontId="2" fillId="0" borderId="12" xfId="0" applyNumberFormat="1" applyFont="1" applyBorder="1"/>
    <xf numFmtId="165" fontId="2" fillId="0" borderId="5" xfId="0" applyNumberFormat="1" applyFont="1" applyBorder="1"/>
    <xf numFmtId="165" fontId="2" fillId="0" borderId="10" xfId="0" applyNumberFormat="1" applyFont="1" applyBorder="1"/>
    <xf numFmtId="0" fontId="2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2" fontId="2" fillId="4" borderId="1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6" borderId="6" xfId="0" applyNumberFormat="1" applyFont="1" applyFill="1" applyBorder="1" applyAlignment="1">
      <alignment horizontal="center" vertical="center"/>
    </xf>
    <xf numFmtId="2" fontId="2" fillId="6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66" fontId="39" fillId="0" borderId="0" xfId="0" applyNumberFormat="1" applyFont="1" applyBorder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2" fontId="2" fillId="6" borderId="11" xfId="0" applyNumberFormat="1" applyFont="1" applyFill="1" applyBorder="1" applyAlignment="1">
      <alignment horizontal="center" vertical="center"/>
    </xf>
    <xf numFmtId="2" fontId="0" fillId="4" borderId="11" xfId="0" applyNumberForma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0" fontId="20" fillId="0" borderId="0" xfId="0" applyFont="1"/>
    <xf numFmtId="1" fontId="0" fillId="0" borderId="2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" fillId="4" borderId="1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6" fontId="2" fillId="4" borderId="6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2" fontId="2" fillId="6" borderId="5" xfId="0" applyNumberFormat="1" applyFont="1" applyFill="1" applyBorder="1" applyAlignment="1">
      <alignment horizontal="center" vertical="center"/>
    </xf>
    <xf numFmtId="2" fontId="2" fillId="6" borderId="8" xfId="0" applyNumberFormat="1" applyFont="1" applyFill="1" applyBorder="1" applyAlignment="1">
      <alignment horizontal="center" vertical="center"/>
    </xf>
    <xf numFmtId="2" fontId="2" fillId="6" borderId="10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2" xfId="0" applyFont="1" applyBorder="1"/>
    <xf numFmtId="0" fontId="2" fillId="0" borderId="8" xfId="0" applyFont="1" applyBorder="1" applyAlignment="1">
      <alignment horizontal="center" vertical="center"/>
    </xf>
    <xf numFmtId="167" fontId="2" fillId="0" borderId="8" xfId="0" applyNumberFormat="1" applyFont="1" applyBorder="1" applyAlignment="1">
      <alignment horizontal="center" vertical="center" wrapText="1"/>
    </xf>
    <xf numFmtId="166" fontId="39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justify" vertical="center"/>
    </xf>
    <xf numFmtId="2" fontId="18" fillId="0" borderId="0" xfId="0" applyNumberFormat="1" applyFont="1" applyFill="1" applyAlignment="1">
      <alignment horizontal="center" vertical="center"/>
    </xf>
    <xf numFmtId="1" fontId="18" fillId="0" borderId="0" xfId="0" applyNumberFormat="1" applyFont="1" applyFill="1" applyAlignment="1">
      <alignment horizontal="center" vertical="center"/>
    </xf>
    <xf numFmtId="0" fontId="41" fillId="0" borderId="0" xfId="0" applyFont="1" applyAlignment="1">
      <alignment horizontal="justify" vertical="center"/>
    </xf>
    <xf numFmtId="0" fontId="0" fillId="0" borderId="0" xfId="0" applyAlignment="1"/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4" borderId="0" xfId="0" applyFont="1" applyFill="1" applyAlignment="1">
      <alignment horizontal="left" vertical="center"/>
    </xf>
    <xf numFmtId="0" fontId="0" fillId="0" borderId="0" xfId="0" applyFont="1" applyAlignment="1"/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5" xfId="0" applyBorder="1" applyAlignment="1"/>
    <xf numFmtId="0" fontId="2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0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8" fillId="4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CC"/>
      <color rgb="FFDBFE9D"/>
      <color rgb="FFC0FFA1"/>
      <color rgb="FFC6FCA4"/>
      <color rgb="FFFFFF99"/>
      <color rgb="FFFFFF66"/>
      <color rgb="FFFFCCFF"/>
      <color rgb="FFCCFFFF"/>
      <color rgb="FF008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Relationship Id="rId4" Type="http://schemas.openxmlformats.org/officeDocument/2006/relationships/image" Target="../media/image1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wmf"/><Relationship Id="rId2" Type="http://schemas.openxmlformats.org/officeDocument/2006/relationships/image" Target="../media/image15.emf"/><Relationship Id="rId1" Type="http://schemas.openxmlformats.org/officeDocument/2006/relationships/image" Target="../media/image14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526144</xdr:colOff>
      <xdr:row>2</xdr:row>
      <xdr:rowOff>69664</xdr:rowOff>
    </xdr:from>
    <xdr:to>
      <xdr:col>7</xdr:col>
      <xdr:colOff>172358</xdr:colOff>
      <xdr:row>34</xdr:row>
      <xdr:rowOff>19101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144" y="432521"/>
          <a:ext cx="3900714" cy="575515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</xdr:col>
      <xdr:colOff>435429</xdr:colOff>
      <xdr:row>2</xdr:row>
      <xdr:rowOff>74592</xdr:rowOff>
    </xdr:from>
    <xdr:to>
      <xdr:col>13</xdr:col>
      <xdr:colOff>554217</xdr:colOff>
      <xdr:row>34</xdr:row>
      <xdr:rowOff>9071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9929" y="437449"/>
          <a:ext cx="3765502" cy="574019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14</xdr:col>
      <xdr:colOff>199572</xdr:colOff>
      <xdr:row>2</xdr:row>
      <xdr:rowOff>81640</xdr:rowOff>
    </xdr:from>
    <xdr:to>
      <xdr:col>20</xdr:col>
      <xdr:colOff>338139</xdr:colOff>
      <xdr:row>33</xdr:row>
      <xdr:rowOff>163285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08572" y="444497"/>
          <a:ext cx="3785281" cy="570593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21</xdr:col>
      <xdr:colOff>17750</xdr:colOff>
      <xdr:row>2</xdr:row>
      <xdr:rowOff>72570</xdr:rowOff>
    </xdr:from>
    <xdr:to>
      <xdr:col>27</xdr:col>
      <xdr:colOff>45659</xdr:colOff>
      <xdr:row>33</xdr:row>
      <xdr:rowOff>117927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81250" y="435427"/>
          <a:ext cx="3674623" cy="56696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27</xdr:col>
      <xdr:colOff>197089</xdr:colOff>
      <xdr:row>2</xdr:row>
      <xdr:rowOff>116417</xdr:rowOff>
    </xdr:from>
    <xdr:to>
      <xdr:col>33</xdr:col>
      <xdr:colOff>74747</xdr:colOff>
      <xdr:row>33</xdr:row>
      <xdr:rowOff>84667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770589" y="476250"/>
          <a:ext cx="3560658" cy="554566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508001</xdr:colOff>
      <xdr:row>36</xdr:row>
      <xdr:rowOff>1</xdr:rowOff>
    </xdr:from>
    <xdr:to>
      <xdr:col>7</xdr:col>
      <xdr:colOff>189167</xdr:colOff>
      <xdr:row>65</xdr:row>
      <xdr:rowOff>95250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8001" y="6667501"/>
          <a:ext cx="3903916" cy="561975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</xdr:col>
      <xdr:colOff>428625</xdr:colOff>
      <xdr:row>36</xdr:row>
      <xdr:rowOff>0</xdr:rowOff>
    </xdr:from>
    <xdr:to>
      <xdr:col>13</xdr:col>
      <xdr:colOff>533938</xdr:colOff>
      <xdr:row>65</xdr:row>
      <xdr:rowOff>95249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51375" y="6667500"/>
          <a:ext cx="3724813" cy="561975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14</xdr:col>
      <xdr:colOff>190501</xdr:colOff>
      <xdr:row>36</xdr:row>
      <xdr:rowOff>1</xdr:rowOff>
    </xdr:from>
    <xdr:to>
      <xdr:col>20</xdr:col>
      <xdr:colOff>412750</xdr:colOff>
      <xdr:row>65</xdr:row>
      <xdr:rowOff>79374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36001" y="6667501"/>
          <a:ext cx="3841749" cy="560387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21</xdr:col>
      <xdr:colOff>0</xdr:colOff>
      <xdr:row>36</xdr:row>
      <xdr:rowOff>0</xdr:rowOff>
    </xdr:from>
    <xdr:to>
      <xdr:col>27</xdr:col>
      <xdr:colOff>47625</xdr:colOff>
      <xdr:row>65</xdr:row>
      <xdr:rowOff>39413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668250" y="6667500"/>
          <a:ext cx="3667125" cy="556391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27</xdr:col>
      <xdr:colOff>222251</xdr:colOff>
      <xdr:row>36</xdr:row>
      <xdr:rowOff>0</xdr:rowOff>
    </xdr:from>
    <xdr:to>
      <xdr:col>33</xdr:col>
      <xdr:colOff>142875</xdr:colOff>
      <xdr:row>65</xdr:row>
      <xdr:rowOff>22021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510001" y="6667500"/>
          <a:ext cx="3540124" cy="554652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33</xdr:col>
      <xdr:colOff>235865</xdr:colOff>
      <xdr:row>2</xdr:row>
      <xdr:rowOff>137778</xdr:rowOff>
    </xdr:from>
    <xdr:to>
      <xdr:col>39</xdr:col>
      <xdr:colOff>413879</xdr:colOff>
      <xdr:row>33</xdr:row>
      <xdr:rowOff>54428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292794" y="500635"/>
          <a:ext cx="3824728" cy="554093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40</xdr:col>
      <xdr:colOff>90714</xdr:colOff>
      <xdr:row>2</xdr:row>
      <xdr:rowOff>152855</xdr:rowOff>
    </xdr:from>
    <xdr:to>
      <xdr:col>47</xdr:col>
      <xdr:colOff>91031</xdr:colOff>
      <xdr:row>33</xdr:row>
      <xdr:rowOff>45356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402143" y="515712"/>
          <a:ext cx="4254817" cy="551678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40</xdr:col>
      <xdr:colOff>98425</xdr:colOff>
      <xdr:row>35</xdr:row>
      <xdr:rowOff>174625</xdr:rowOff>
    </xdr:from>
    <xdr:to>
      <xdr:col>47</xdr:col>
      <xdr:colOff>85811</xdr:colOff>
      <xdr:row>65</xdr:row>
      <xdr:rowOff>23117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811939" y="6782057"/>
          <a:ext cx="4312250" cy="551200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285750</xdr:colOff>
          <xdr:row>45</xdr:row>
          <xdr:rowOff>6350</xdr:rowOff>
        </xdr:from>
        <xdr:to>
          <xdr:col>13</xdr:col>
          <xdr:colOff>406400</xdr:colOff>
          <xdr:row>51</xdr:row>
          <xdr:rowOff>101600</xdr:rowOff>
        </xdr:to>
        <xdr:sp macro="" textlink="">
          <xdr:nvSpPr>
            <xdr:cNvPr id="50177" name="Object 1" hidden="1">
              <a:extLst>
                <a:ext uri="{63B3BB69-23CF-44E3-9099-C40C66FF867C}">
                  <a14:compatExt spid="_x0000_s50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292100</xdr:colOff>
          <xdr:row>52</xdr:row>
          <xdr:rowOff>25400</xdr:rowOff>
        </xdr:from>
        <xdr:to>
          <xdr:col>13</xdr:col>
          <xdr:colOff>457200</xdr:colOff>
          <xdr:row>58</xdr:row>
          <xdr:rowOff>120650</xdr:rowOff>
        </xdr:to>
        <xdr:sp macro="" textlink="">
          <xdr:nvSpPr>
            <xdr:cNvPr id="50178" name="Object 2" hidden="1">
              <a:extLst>
                <a:ext uri="{63B3BB69-23CF-44E3-9099-C40C66FF867C}">
                  <a14:compatExt spid="_x0000_s50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603250</xdr:colOff>
          <xdr:row>80</xdr:row>
          <xdr:rowOff>101600</xdr:rowOff>
        </xdr:from>
        <xdr:to>
          <xdr:col>9</xdr:col>
          <xdr:colOff>273050</xdr:colOff>
          <xdr:row>83</xdr:row>
          <xdr:rowOff>107950</xdr:rowOff>
        </xdr:to>
        <xdr:sp macro="" textlink="">
          <xdr:nvSpPr>
            <xdr:cNvPr id="50194" name="Object 18" hidden="1">
              <a:extLst>
                <a:ext uri="{63B3BB69-23CF-44E3-9099-C40C66FF867C}">
                  <a14:compatExt spid="_x0000_s50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171450</xdr:colOff>
          <xdr:row>80</xdr:row>
          <xdr:rowOff>82550</xdr:rowOff>
        </xdr:from>
        <xdr:to>
          <xdr:col>15</xdr:col>
          <xdr:colOff>355600</xdr:colOff>
          <xdr:row>83</xdr:row>
          <xdr:rowOff>114300</xdr:rowOff>
        </xdr:to>
        <xdr:sp macro="" textlink="">
          <xdr:nvSpPr>
            <xdr:cNvPr id="50195" name="Object 19" hidden="1">
              <a:extLst>
                <a:ext uri="{63B3BB69-23CF-44E3-9099-C40C66FF867C}">
                  <a14:compatExt spid="_x0000_s50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120650</xdr:colOff>
          <xdr:row>29</xdr:row>
          <xdr:rowOff>6350</xdr:rowOff>
        </xdr:from>
        <xdr:to>
          <xdr:col>27</xdr:col>
          <xdr:colOff>254000</xdr:colOff>
          <xdr:row>34</xdr:row>
          <xdr:rowOff>165100</xdr:rowOff>
        </xdr:to>
        <xdr:sp macro="" textlink="">
          <xdr:nvSpPr>
            <xdr:cNvPr id="32772" name="Object 4" hidden="1">
              <a:extLst>
                <a:ext uri="{63B3BB69-23CF-44E3-9099-C40C66FF867C}">
                  <a14:compatExt spid="_x0000_s32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107950</xdr:colOff>
          <xdr:row>22</xdr:row>
          <xdr:rowOff>63500</xdr:rowOff>
        </xdr:from>
        <xdr:to>
          <xdr:col>27</xdr:col>
          <xdr:colOff>285750</xdr:colOff>
          <xdr:row>28</xdr:row>
          <xdr:rowOff>44450</xdr:rowOff>
        </xdr:to>
        <xdr:sp macro="" textlink="">
          <xdr:nvSpPr>
            <xdr:cNvPr id="32773" name="Object 5" hidden="1">
              <a:extLst>
                <a:ext uri="{63B3BB69-23CF-44E3-9099-C40C66FF867C}">
                  <a14:compatExt spid="_x0000_s32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101600</xdr:colOff>
          <xdr:row>8</xdr:row>
          <xdr:rowOff>127000</xdr:rowOff>
        </xdr:from>
        <xdr:to>
          <xdr:col>26</xdr:col>
          <xdr:colOff>393700</xdr:colOff>
          <xdr:row>14</xdr:row>
          <xdr:rowOff>19050</xdr:rowOff>
        </xdr:to>
        <xdr:sp macro="" textlink="">
          <xdr:nvSpPr>
            <xdr:cNvPr id="32774" name="Object 6" hidden="1">
              <a:extLst>
                <a:ext uri="{63B3BB69-23CF-44E3-9099-C40C66FF867C}">
                  <a14:compatExt spid="_x0000_s32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22</xdr:col>
      <xdr:colOff>108248</xdr:colOff>
      <xdr:row>18</xdr:row>
      <xdr:rowOff>133045</xdr:rowOff>
    </xdr:from>
    <xdr:to>
      <xdr:col>34</xdr:col>
      <xdr:colOff>128290</xdr:colOff>
      <xdr:row>21</xdr:row>
      <xdr:rowOff>133044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0415" y="3371545"/>
          <a:ext cx="7386042" cy="53974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22</xdr:col>
      <xdr:colOff>113390</xdr:colOff>
      <xdr:row>14</xdr:row>
      <xdr:rowOff>176083</xdr:rowOff>
    </xdr:from>
    <xdr:to>
      <xdr:col>33</xdr:col>
      <xdr:colOff>195031</xdr:colOff>
      <xdr:row>18</xdr:row>
      <xdr:rowOff>27284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5557" y="2694916"/>
          <a:ext cx="6833808" cy="57086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22</xdr:col>
      <xdr:colOff>126997</xdr:colOff>
      <xdr:row>50</xdr:row>
      <xdr:rowOff>95269</xdr:rowOff>
    </xdr:from>
    <xdr:to>
      <xdr:col>29</xdr:col>
      <xdr:colOff>193222</xdr:colOff>
      <xdr:row>54</xdr:row>
      <xdr:rowOff>71024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79164" y="9091102"/>
          <a:ext cx="4363059" cy="69542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22</xdr:col>
      <xdr:colOff>127003</xdr:colOff>
      <xdr:row>35</xdr:row>
      <xdr:rowOff>116416</xdr:rowOff>
    </xdr:from>
    <xdr:to>
      <xdr:col>30</xdr:col>
      <xdr:colOff>84669</xdr:colOff>
      <xdr:row>50</xdr:row>
      <xdr:rowOff>0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84" r="2195" b="1770"/>
        <a:stretch/>
      </xdr:blipFill>
      <xdr:spPr>
        <a:xfrm>
          <a:off x="6879170" y="6413499"/>
          <a:ext cx="4868333" cy="258233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11</xdr:col>
      <xdr:colOff>597958</xdr:colOff>
      <xdr:row>0</xdr:row>
      <xdr:rowOff>134858</xdr:rowOff>
    </xdr:from>
    <xdr:to>
      <xdr:col>20</xdr:col>
      <xdr:colOff>226845</xdr:colOff>
      <xdr:row>31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7958" y="134858"/>
          <a:ext cx="5058137" cy="577064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12</xdr:col>
      <xdr:colOff>63501</xdr:colOff>
      <xdr:row>31</xdr:row>
      <xdr:rowOff>111125</xdr:rowOff>
    </xdr:from>
    <xdr:to>
      <xdr:col>20</xdr:col>
      <xdr:colOff>283704</xdr:colOff>
      <xdr:row>65</xdr:row>
      <xdr:rowOff>171374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6751" y="6016625"/>
          <a:ext cx="5046203" cy="653724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298450</xdr:colOff>
          <xdr:row>56</xdr:row>
          <xdr:rowOff>133350</xdr:rowOff>
        </xdr:from>
        <xdr:to>
          <xdr:col>28</xdr:col>
          <xdr:colOff>196850</xdr:colOff>
          <xdr:row>60</xdr:row>
          <xdr:rowOff>82550</xdr:rowOff>
        </xdr:to>
        <xdr:sp macro="" textlink="">
          <xdr:nvSpPr>
            <xdr:cNvPr id="32776" name="Object 8" hidden="1">
              <a:extLst>
                <a:ext uri="{63B3BB69-23CF-44E3-9099-C40C66FF867C}">
                  <a14:compatExt spid="_x0000_s32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260350</xdr:colOff>
          <xdr:row>62</xdr:row>
          <xdr:rowOff>19050</xdr:rowOff>
        </xdr:from>
        <xdr:to>
          <xdr:col>28</xdr:col>
          <xdr:colOff>285750</xdr:colOff>
          <xdr:row>65</xdr:row>
          <xdr:rowOff>171450</xdr:rowOff>
        </xdr:to>
        <xdr:sp macro="" textlink="">
          <xdr:nvSpPr>
            <xdr:cNvPr id="32777" name="Object 9" hidden="1">
              <a:extLst>
                <a:ext uri="{63B3BB69-23CF-44E3-9099-C40C66FF867C}">
                  <a14:compatExt spid="_x0000_s32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15.emf"/><Relationship Id="rId12" Type="http://schemas.openxmlformats.org/officeDocument/2006/relationships/comments" Target="../comments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17.emf"/><Relationship Id="rId5" Type="http://schemas.openxmlformats.org/officeDocument/2006/relationships/image" Target="../media/image14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16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7.bin"/><Relationship Id="rId13" Type="http://schemas.openxmlformats.org/officeDocument/2006/relationships/image" Target="../media/image20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15.emf"/><Relationship Id="rId12" Type="http://schemas.openxmlformats.org/officeDocument/2006/relationships/oleObject" Target="../embeddings/oleObject9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6.bin"/><Relationship Id="rId11" Type="http://schemas.openxmlformats.org/officeDocument/2006/relationships/image" Target="../media/image19.emf"/><Relationship Id="rId5" Type="http://schemas.openxmlformats.org/officeDocument/2006/relationships/image" Target="../media/image14.emf"/><Relationship Id="rId10" Type="http://schemas.openxmlformats.org/officeDocument/2006/relationships/oleObject" Target="../embeddings/oleObject8.bin"/><Relationship Id="rId4" Type="http://schemas.openxmlformats.org/officeDocument/2006/relationships/oleObject" Target="../embeddings/oleObject5.bin"/><Relationship Id="rId9" Type="http://schemas.openxmlformats.org/officeDocument/2006/relationships/image" Target="../media/image18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" zoomScale="37" zoomScaleNormal="37" workbookViewId="0">
      <selection activeCell="AY50" sqref="AY50"/>
    </sheetView>
  </sheetViews>
  <sheetFormatPr defaultRowHeight="14.5" x14ac:dyDescent="0.35"/>
  <cols>
    <col min="35" max="35" width="8.726562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H44"/>
  <sheetViews>
    <sheetView zoomScale="50" zoomScaleNormal="50" workbookViewId="0">
      <selection activeCell="AB23" sqref="AB23"/>
    </sheetView>
  </sheetViews>
  <sheetFormatPr defaultRowHeight="14.5" x14ac:dyDescent="0.35"/>
  <cols>
    <col min="1" max="1" width="4.26953125" customWidth="1"/>
    <col min="2" max="2" width="5.08984375" customWidth="1"/>
    <col min="3" max="3" width="17.54296875" customWidth="1"/>
    <col min="4" max="4" width="10.36328125" customWidth="1"/>
    <col min="5" max="5" width="9.36328125" customWidth="1"/>
    <col min="11" max="11" width="3.26953125" customWidth="1"/>
    <col min="12" max="12" width="18.26953125" customWidth="1"/>
    <col min="13" max="13" width="10" customWidth="1"/>
    <col min="14" max="14" width="9.08984375" customWidth="1"/>
    <col min="18" max="18" width="3.08984375" customWidth="1"/>
    <col min="19" max="19" width="20.54296875" customWidth="1"/>
    <col min="25" max="25" width="3.26953125" customWidth="1"/>
    <col min="26" max="26" width="18.26953125" customWidth="1"/>
    <col min="32" max="32" width="2.90625" customWidth="1"/>
    <col min="33" max="33" width="17.54296875" customWidth="1"/>
    <col min="35" max="35" width="9.54296875" bestFit="1" customWidth="1"/>
    <col min="36" max="36" width="9.1796875" bestFit="1" customWidth="1"/>
    <col min="40" max="40" width="18.36328125" customWidth="1"/>
    <col min="47" max="47" width="18.7265625" customWidth="1"/>
    <col min="54" max="54" width="17.453125" customWidth="1"/>
  </cols>
  <sheetData>
    <row r="1" spans="2:59" x14ac:dyDescent="0.35">
      <c r="C1" s="304"/>
    </row>
    <row r="2" spans="2:59" ht="17.5" x14ac:dyDescent="0.35">
      <c r="B2" s="303" t="s">
        <v>124</v>
      </c>
      <c r="Q2" s="310"/>
      <c r="U2" s="313" t="s">
        <v>129</v>
      </c>
      <c r="V2" s="314"/>
      <c r="W2" s="314"/>
      <c r="AV2" s="288"/>
    </row>
    <row r="3" spans="2:59" x14ac:dyDescent="0.35">
      <c r="T3" s="288" t="s">
        <v>114</v>
      </c>
      <c r="AA3" s="296" t="s">
        <v>115</v>
      </c>
      <c r="AH3" s="296" t="s">
        <v>115</v>
      </c>
      <c r="AO3" s="296" t="s">
        <v>115</v>
      </c>
      <c r="AV3" s="296" t="s">
        <v>115</v>
      </c>
      <c r="BC3" s="296" t="s">
        <v>115</v>
      </c>
    </row>
    <row r="4" spans="2:59" x14ac:dyDescent="0.35">
      <c r="C4" s="288" t="s">
        <v>103</v>
      </c>
      <c r="E4" s="288" t="s">
        <v>106</v>
      </c>
      <c r="L4" s="288" t="s">
        <v>104</v>
      </c>
      <c r="N4" s="288" t="s">
        <v>107</v>
      </c>
      <c r="S4" s="288" t="s">
        <v>111</v>
      </c>
      <c r="U4" s="288" t="s">
        <v>107</v>
      </c>
      <c r="Z4" s="288" t="s">
        <v>112</v>
      </c>
      <c r="AB4" s="288" t="s">
        <v>113</v>
      </c>
      <c r="AG4" s="288" t="s">
        <v>116</v>
      </c>
      <c r="AI4" s="288" t="s">
        <v>118</v>
      </c>
      <c r="AN4" s="288" t="s">
        <v>117</v>
      </c>
      <c r="AP4" s="288" t="s">
        <v>119</v>
      </c>
      <c r="AU4" s="288" t="s">
        <v>121</v>
      </c>
      <c r="AW4" s="288" t="s">
        <v>120</v>
      </c>
      <c r="BB4" s="288" t="s">
        <v>122</v>
      </c>
      <c r="BD4" s="288" t="s">
        <v>123</v>
      </c>
    </row>
    <row r="5" spans="2:59" x14ac:dyDescent="0.35">
      <c r="B5" s="291" t="s">
        <v>105</v>
      </c>
      <c r="C5" s="200" t="s">
        <v>0</v>
      </c>
      <c r="D5" s="306" t="s">
        <v>100</v>
      </c>
      <c r="E5" s="182" t="s">
        <v>99</v>
      </c>
      <c r="F5" s="207" t="s">
        <v>95</v>
      </c>
      <c r="G5" s="207" t="s">
        <v>98</v>
      </c>
      <c r="H5" s="294" t="s">
        <v>102</v>
      </c>
      <c r="I5" s="207" t="s">
        <v>57</v>
      </c>
      <c r="J5" s="207" t="s">
        <v>58</v>
      </c>
      <c r="L5" s="200" t="s">
        <v>0</v>
      </c>
      <c r="M5" s="139" t="s">
        <v>95</v>
      </c>
      <c r="N5" s="293" t="s">
        <v>110</v>
      </c>
      <c r="O5" s="293" t="s">
        <v>102</v>
      </c>
      <c r="P5" s="139" t="s">
        <v>57</v>
      </c>
      <c r="Q5" s="139" t="s">
        <v>58</v>
      </c>
      <c r="S5" s="200" t="s">
        <v>0</v>
      </c>
      <c r="T5" s="139" t="s">
        <v>95</v>
      </c>
      <c r="U5" s="293" t="s">
        <v>110</v>
      </c>
      <c r="V5" s="293" t="s">
        <v>102</v>
      </c>
      <c r="W5" s="139" t="s">
        <v>57</v>
      </c>
      <c r="X5" s="139" t="s">
        <v>58</v>
      </c>
      <c r="Z5" s="200" t="s">
        <v>0</v>
      </c>
      <c r="AA5" s="207" t="s">
        <v>95</v>
      </c>
      <c r="AB5" s="294" t="s">
        <v>110</v>
      </c>
      <c r="AC5" s="294" t="s">
        <v>102</v>
      </c>
      <c r="AD5" s="207" t="s">
        <v>57</v>
      </c>
      <c r="AE5" s="207" t="s">
        <v>58</v>
      </c>
      <c r="AG5" s="200" t="s">
        <v>0</v>
      </c>
      <c r="AH5" s="207" t="s">
        <v>95</v>
      </c>
      <c r="AI5" s="294" t="s">
        <v>110</v>
      </c>
      <c r="AJ5" s="294" t="s">
        <v>102</v>
      </c>
      <c r="AK5" s="207" t="s">
        <v>57</v>
      </c>
      <c r="AL5" s="207" t="s">
        <v>58</v>
      </c>
      <c r="AN5" s="200" t="s">
        <v>0</v>
      </c>
      <c r="AO5" s="207" t="s">
        <v>95</v>
      </c>
      <c r="AP5" s="294" t="s">
        <v>110</v>
      </c>
      <c r="AQ5" s="294" t="s">
        <v>102</v>
      </c>
      <c r="AR5" s="207" t="s">
        <v>57</v>
      </c>
      <c r="AS5" s="207" t="s">
        <v>58</v>
      </c>
      <c r="AU5" s="200" t="s">
        <v>0</v>
      </c>
      <c r="AV5" s="207" t="s">
        <v>95</v>
      </c>
      <c r="AW5" s="294" t="s">
        <v>110</v>
      </c>
      <c r="AX5" s="294" t="s">
        <v>102</v>
      </c>
      <c r="AY5" s="207" t="s">
        <v>57</v>
      </c>
      <c r="AZ5" s="207" t="s">
        <v>58</v>
      </c>
      <c r="BB5" s="200" t="s">
        <v>0</v>
      </c>
      <c r="BC5" s="207" t="s">
        <v>95</v>
      </c>
      <c r="BD5" s="294" t="s">
        <v>110</v>
      </c>
      <c r="BE5" s="294" t="s">
        <v>102</v>
      </c>
      <c r="BF5" s="207" t="s">
        <v>57</v>
      </c>
      <c r="BG5" s="207" t="s">
        <v>58</v>
      </c>
    </row>
    <row r="6" spans="2:59" ht="14" customHeight="1" x14ac:dyDescent="0.35">
      <c r="B6" s="289">
        <v>1</v>
      </c>
      <c r="C6" s="113" t="s">
        <v>2</v>
      </c>
      <c r="D6" s="220">
        <v>0.78800000000000003</v>
      </c>
      <c r="E6" s="274">
        <v>0.99</v>
      </c>
      <c r="F6" s="276">
        <v>3</v>
      </c>
      <c r="G6" s="192">
        <f>D6*F6</f>
        <v>2.3639999999999999</v>
      </c>
      <c r="H6" s="280">
        <f>G6/G$21*1000000</f>
        <v>25650.47388273957</v>
      </c>
      <c r="I6" s="280">
        <f>(G6*1000)/(F$21/1000)</f>
        <v>23640</v>
      </c>
      <c r="J6" s="209">
        <f>I6/(F$11/1000)/10</f>
        <v>88208.955223880592</v>
      </c>
      <c r="L6" s="113" t="s">
        <v>2</v>
      </c>
      <c r="M6" s="275"/>
      <c r="N6" s="280">
        <f>H6*N$19</f>
        <v>23624.086446003144</v>
      </c>
      <c r="O6" s="275">
        <f>N6/N$21</f>
        <v>249.25459649583698</v>
      </c>
      <c r="P6" s="280">
        <f>(N6/1000)/(M$21/1000)</f>
        <v>236.24086446003142</v>
      </c>
      <c r="Q6" s="209">
        <f>P6/0.4</f>
        <v>590.60216115007847</v>
      </c>
      <c r="S6" s="113" t="s">
        <v>2</v>
      </c>
      <c r="T6" s="275"/>
      <c r="U6" s="110">
        <f>H6*U$19</f>
        <v>23624.086446003144</v>
      </c>
      <c r="V6" s="122">
        <f>U6/U$21</f>
        <v>249.25459649583698</v>
      </c>
      <c r="W6" s="280">
        <f>(U6/1000)/(T$21/1000)</f>
        <v>236.24086446003142</v>
      </c>
      <c r="X6" s="209">
        <f>W6/0.4</f>
        <v>590.60216115007847</v>
      </c>
      <c r="Z6" s="113" t="s">
        <v>2</v>
      </c>
      <c r="AA6" s="300"/>
      <c r="AB6" s="280">
        <f>H6*AB$19</f>
        <v>0</v>
      </c>
      <c r="AC6" s="122">
        <f>AB6/AB$21</f>
        <v>0</v>
      </c>
      <c r="AD6" s="280">
        <f>(AB6/1000)/(AA$21/1000)</f>
        <v>0</v>
      </c>
      <c r="AE6" s="209">
        <f>AD6/0.4</f>
        <v>0</v>
      </c>
      <c r="AG6" s="113" t="s">
        <v>2</v>
      </c>
      <c r="AH6" s="300"/>
      <c r="AI6" s="280">
        <f>H6*AI$19</f>
        <v>2362.4086446003143</v>
      </c>
      <c r="AJ6" s="122">
        <f>AI6/AI$21</f>
        <v>24.919056553038274</v>
      </c>
      <c r="AK6" s="280">
        <f>(AI6/1000)/(AH$21/1000)</f>
        <v>23.62408644600314</v>
      </c>
      <c r="AL6" s="209">
        <f>AK6/0.4</f>
        <v>59.060216115007847</v>
      </c>
      <c r="AN6" s="113" t="s">
        <v>2</v>
      </c>
      <c r="AO6" s="300"/>
      <c r="AP6" s="280">
        <f>H6*AP$19</f>
        <v>11799.217986060203</v>
      </c>
      <c r="AQ6" s="122">
        <f>AP6/AP$21</f>
        <v>124.47486834655091</v>
      </c>
      <c r="AR6" s="280">
        <f>(AP6/1000)/(AO$21/1000)</f>
        <v>117.99217986060202</v>
      </c>
      <c r="AS6" s="209">
        <f>AR6/0.4</f>
        <v>294.98044965150501</v>
      </c>
      <c r="AU6" s="113" t="s">
        <v>2</v>
      </c>
      <c r="AV6" s="300"/>
      <c r="AW6" s="280">
        <f>H6*AW$19</f>
        <v>23624.086446003144</v>
      </c>
      <c r="AX6" s="122">
        <f>AW6/AW$21</f>
        <v>249.25459649583698</v>
      </c>
      <c r="AY6" s="280">
        <f>(AW6/1000)/(AV$21/1000)</f>
        <v>236.24086446003142</v>
      </c>
      <c r="AZ6" s="209">
        <f>AY6/0.4</f>
        <v>590.60216115007847</v>
      </c>
      <c r="BB6" s="113" t="s">
        <v>2</v>
      </c>
      <c r="BC6" s="300"/>
      <c r="BD6" s="280">
        <f>H6*BD$19</f>
        <v>47248.172892006289</v>
      </c>
      <c r="BE6" s="122">
        <f>BD6/BD$21</f>
        <v>498.65156123557961</v>
      </c>
      <c r="BF6" s="280">
        <f>(BD6/1000)/(BC$21/1000)</f>
        <v>472.48172892006284</v>
      </c>
      <c r="BG6" s="209">
        <f>BF6/0.4</f>
        <v>1181.2043223001569</v>
      </c>
    </row>
    <row r="7" spans="2:59" ht="13.5" customHeight="1" x14ac:dyDescent="0.35">
      <c r="B7" s="210">
        <v>2</v>
      </c>
      <c r="C7" s="3" t="s">
        <v>3</v>
      </c>
      <c r="D7" s="307">
        <v>0.93200000000000005</v>
      </c>
      <c r="E7" s="217">
        <v>0.99</v>
      </c>
      <c r="F7" s="277">
        <v>3</v>
      </c>
      <c r="G7" s="19">
        <f t="shared" ref="G7:G18" si="0">D7*F7</f>
        <v>2.7960000000000003</v>
      </c>
      <c r="H7" s="110">
        <f t="shared" ref="H7:H18" si="1">G7/G$21*1000000</f>
        <v>30337.87012527066</v>
      </c>
      <c r="I7" s="110">
        <f t="shared" ref="I7:I18" si="2">(G7*1000)/(F$21/1000)</f>
        <v>27960.000000000004</v>
      </c>
      <c r="J7" s="208">
        <f t="shared" ref="J7:J18" si="3">I7/(F$11/1000)/10</f>
        <v>104328.35820895524</v>
      </c>
      <c r="L7" s="3" t="s">
        <v>3</v>
      </c>
      <c r="M7" s="238"/>
      <c r="N7" s="110">
        <f t="shared" ref="N7:N18" si="4">H7*N$19</f>
        <v>27941.178385374278</v>
      </c>
      <c r="O7" s="86">
        <f t="shared" ref="O7:O18" si="5">N7/N$21</f>
        <v>294.80365981487319</v>
      </c>
      <c r="P7" s="110">
        <f t="shared" ref="P7:P18" si="6">(N7/1000)/(M$21/1000)</f>
        <v>279.41178385374275</v>
      </c>
      <c r="Q7" s="208">
        <f t="shared" ref="Q7:Q18" si="7">P7/0.4</f>
        <v>698.52945963435684</v>
      </c>
      <c r="S7" s="3" t="s">
        <v>3</v>
      </c>
      <c r="T7" s="238"/>
      <c r="U7" s="110">
        <f t="shared" ref="U7:U18" si="8">H7*U$19</f>
        <v>27941.178385374278</v>
      </c>
      <c r="V7" s="86">
        <f t="shared" ref="V7:V18" si="9">U7/U$21</f>
        <v>294.80365981487319</v>
      </c>
      <c r="W7" s="110">
        <f t="shared" ref="W7:W18" si="10">(U7/1000)/(T$21/1000)</f>
        <v>279.41178385374275</v>
      </c>
      <c r="X7" s="208">
        <f t="shared" ref="X7:X18" si="11">W7/0.4</f>
        <v>698.52945963435684</v>
      </c>
      <c r="Z7" s="3" t="s">
        <v>3</v>
      </c>
      <c r="AA7" s="211"/>
      <c r="AB7" s="110">
        <f t="shared" ref="AB7:AB18" si="12">H7*AB$19</f>
        <v>0</v>
      </c>
      <c r="AC7" s="86">
        <f t="shared" ref="AC7:AC18" si="13">AB7/AB$21</f>
        <v>0</v>
      </c>
      <c r="AD7" s="110">
        <f t="shared" ref="AD7:AD18" si="14">(AB7/1000)/(AA$21/1000)</f>
        <v>0</v>
      </c>
      <c r="AE7" s="208">
        <f t="shared" ref="AE7:AE18" si="15">AD7/0.4</f>
        <v>0</v>
      </c>
      <c r="AG7" s="3" t="s">
        <v>3</v>
      </c>
      <c r="AH7" s="211"/>
      <c r="AI7" s="110">
        <f t="shared" ref="AI7:AI18" si="16">H7*AI$19</f>
        <v>2794.1178385374278</v>
      </c>
      <c r="AJ7" s="86">
        <f t="shared" ref="AJ7:AJ18" si="17">AI7/AI$21</f>
        <v>29.472792775928518</v>
      </c>
      <c r="AK7" s="110">
        <f t="shared" ref="AK7:AK18" si="18">(AI7/1000)/(AH$21/1000)</f>
        <v>27.941178385374279</v>
      </c>
      <c r="AL7" s="208">
        <f t="shared" ref="AL7:AL18" si="19">AK7/0.4</f>
        <v>69.852945963435687</v>
      </c>
      <c r="AN7" s="3" t="s">
        <v>3</v>
      </c>
      <c r="AO7" s="211"/>
      <c r="AP7" s="110">
        <f t="shared" ref="AP7:AP18" si="20">H7*AP$19</f>
        <v>13955.420257624504</v>
      </c>
      <c r="AQ7" s="86">
        <f t="shared" ref="AQ7:AQ18" si="21">AP7/AP$21</f>
        <v>147.22154479566683</v>
      </c>
      <c r="AR7" s="110">
        <f t="shared" ref="AR7:AR18" si="22">(AP7/1000)/(AO$21/1000)</f>
        <v>139.55420257624505</v>
      </c>
      <c r="AS7" s="208">
        <f t="shared" ref="AS7:AS18" si="23">AR7/0.4</f>
        <v>348.88550644061257</v>
      </c>
      <c r="AU7" s="3" t="s">
        <v>3</v>
      </c>
      <c r="AV7" s="211"/>
      <c r="AW7" s="110">
        <f t="shared" ref="AW7:AW18" si="24">H7*AW$19</f>
        <v>27941.178385374278</v>
      </c>
      <c r="AX7" s="86">
        <f t="shared" ref="AX7:AX18" si="25">AW7/AW$21</f>
        <v>294.80365981487319</v>
      </c>
      <c r="AY7" s="110">
        <f t="shared" ref="AY7:AY18" si="26">(AW7/1000)/(AV$21/1000)</f>
        <v>279.41178385374275</v>
      </c>
      <c r="AZ7" s="208">
        <f t="shared" ref="AZ7:AZ18" si="27">AY7/0.4</f>
        <v>698.52945963435684</v>
      </c>
      <c r="BB7" s="3" t="s">
        <v>3</v>
      </c>
      <c r="BC7" s="211"/>
      <c r="BD7" s="110">
        <f t="shared" ref="BD7:BD18" si="28">H7*BD$19</f>
        <v>55882.356770748556</v>
      </c>
      <c r="BE7" s="86">
        <f t="shared" ref="BE7:BE18" si="29">BD7/BD$21</f>
        <v>589.77570440553325</v>
      </c>
      <c r="BF7" s="110">
        <f t="shared" ref="BF7:BF18" si="30">(BD7/1000)/(BC$21/1000)</f>
        <v>558.82356770748549</v>
      </c>
      <c r="BG7" s="208">
        <f t="shared" ref="BG7:BG18" si="31">BF7/0.4</f>
        <v>1397.0589192687137</v>
      </c>
    </row>
    <row r="8" spans="2:59" ht="14" customHeight="1" x14ac:dyDescent="0.35">
      <c r="B8" s="210">
        <v>3</v>
      </c>
      <c r="C8" s="3" t="s">
        <v>4</v>
      </c>
      <c r="D8" s="307">
        <v>0.90200000000000002</v>
      </c>
      <c r="E8" s="217">
        <v>0.99</v>
      </c>
      <c r="F8" s="277">
        <v>3</v>
      </c>
      <c r="G8" s="19">
        <f t="shared" si="0"/>
        <v>2.706</v>
      </c>
      <c r="H8" s="110">
        <f t="shared" si="1"/>
        <v>29361.329241410014</v>
      </c>
      <c r="I8" s="110">
        <f t="shared" si="2"/>
        <v>27060</v>
      </c>
      <c r="J8" s="208">
        <f t="shared" si="3"/>
        <v>100970.14925373133</v>
      </c>
      <c r="L8" s="3" t="s">
        <v>4</v>
      </c>
      <c r="M8" s="238"/>
      <c r="N8" s="110">
        <f t="shared" si="4"/>
        <v>27041.784231338625</v>
      </c>
      <c r="O8" s="86">
        <f t="shared" si="5"/>
        <v>285.31427162340731</v>
      </c>
      <c r="P8" s="110">
        <f t="shared" si="6"/>
        <v>270.41784231338625</v>
      </c>
      <c r="Q8" s="208">
        <f t="shared" si="7"/>
        <v>676.04460578346561</v>
      </c>
      <c r="S8" s="3" t="s">
        <v>4</v>
      </c>
      <c r="T8" s="238"/>
      <c r="U8" s="110">
        <f t="shared" si="8"/>
        <v>27041.784231338625</v>
      </c>
      <c r="V8" s="86">
        <f t="shared" si="9"/>
        <v>285.31427162340731</v>
      </c>
      <c r="W8" s="110">
        <f t="shared" si="10"/>
        <v>270.41784231338625</v>
      </c>
      <c r="X8" s="208">
        <f t="shared" si="11"/>
        <v>676.04460578346561</v>
      </c>
      <c r="Z8" s="3" t="s">
        <v>4</v>
      </c>
      <c r="AA8" s="211"/>
      <c r="AB8" s="110">
        <f t="shared" si="12"/>
        <v>0</v>
      </c>
      <c r="AC8" s="86">
        <f t="shared" si="13"/>
        <v>0</v>
      </c>
      <c r="AD8" s="110">
        <f t="shared" si="14"/>
        <v>0</v>
      </c>
      <c r="AE8" s="208">
        <f t="shared" si="15"/>
        <v>0</v>
      </c>
      <c r="AG8" s="3" t="s">
        <v>4</v>
      </c>
      <c r="AH8" s="211"/>
      <c r="AI8" s="110">
        <f t="shared" si="16"/>
        <v>2704.1784231338625</v>
      </c>
      <c r="AJ8" s="86">
        <f t="shared" si="17"/>
        <v>28.52409772949305</v>
      </c>
      <c r="AK8" s="110">
        <f t="shared" si="18"/>
        <v>27.041784231338621</v>
      </c>
      <c r="AL8" s="208">
        <f t="shared" si="19"/>
        <v>67.604460578346547</v>
      </c>
      <c r="AN8" s="3" t="s">
        <v>4</v>
      </c>
      <c r="AO8" s="211"/>
      <c r="AP8" s="110">
        <f t="shared" si="20"/>
        <v>13506.211451048606</v>
      </c>
      <c r="AQ8" s="86">
        <f t="shared" si="21"/>
        <v>142.48265386876764</v>
      </c>
      <c r="AR8" s="110">
        <f t="shared" si="22"/>
        <v>135.06211451048605</v>
      </c>
      <c r="AS8" s="208">
        <f t="shared" si="23"/>
        <v>337.65528627621512</v>
      </c>
      <c r="AU8" s="3" t="s">
        <v>4</v>
      </c>
      <c r="AV8" s="211"/>
      <c r="AW8" s="110">
        <f t="shared" si="24"/>
        <v>27041.784231338625</v>
      </c>
      <c r="AX8" s="86">
        <f t="shared" si="25"/>
        <v>285.31427162340731</v>
      </c>
      <c r="AY8" s="110">
        <f t="shared" si="26"/>
        <v>270.41784231338625</v>
      </c>
      <c r="AZ8" s="208">
        <f t="shared" si="27"/>
        <v>676.04460578346561</v>
      </c>
      <c r="BB8" s="3" t="s">
        <v>4</v>
      </c>
      <c r="BC8" s="211"/>
      <c r="BD8" s="110">
        <f t="shared" si="28"/>
        <v>54083.568462677249</v>
      </c>
      <c r="BE8" s="86">
        <f t="shared" si="29"/>
        <v>570.79150791179291</v>
      </c>
      <c r="BF8" s="110">
        <f t="shared" si="30"/>
        <v>540.83568462677249</v>
      </c>
      <c r="BG8" s="208">
        <f t="shared" si="31"/>
        <v>1352.0892115669312</v>
      </c>
    </row>
    <row r="9" spans="2:59" x14ac:dyDescent="0.35">
      <c r="B9" s="210">
        <v>4</v>
      </c>
      <c r="C9" s="3" t="s">
        <v>45</v>
      </c>
      <c r="D9" s="307">
        <v>1.41</v>
      </c>
      <c r="E9" s="217">
        <v>0.99</v>
      </c>
      <c r="F9" s="277">
        <v>3</v>
      </c>
      <c r="G9" s="19">
        <f t="shared" si="0"/>
        <v>4.2299999999999995</v>
      </c>
      <c r="H9" s="110">
        <f t="shared" si="1"/>
        <v>45897.42154145024</v>
      </c>
      <c r="I9" s="110">
        <f t="shared" si="2"/>
        <v>42299.999999999985</v>
      </c>
      <c r="J9" s="208">
        <f t="shared" si="3"/>
        <v>157835.82089552231</v>
      </c>
      <c r="L9" s="3" t="s">
        <v>45</v>
      </c>
      <c r="M9" s="238"/>
      <c r="N9" s="110">
        <f t="shared" si="4"/>
        <v>42271.52523967567</v>
      </c>
      <c r="O9" s="86">
        <f t="shared" si="5"/>
        <v>446.00124499889603</v>
      </c>
      <c r="P9" s="110">
        <f t="shared" si="6"/>
        <v>422.71525239675668</v>
      </c>
      <c r="Q9" s="208">
        <f t="shared" si="7"/>
        <v>1056.7881309918916</v>
      </c>
      <c r="S9" s="3" t="s">
        <v>45</v>
      </c>
      <c r="T9" s="238"/>
      <c r="U9" s="110">
        <f t="shared" si="8"/>
        <v>42271.52523967567</v>
      </c>
      <c r="V9" s="86">
        <f t="shared" si="9"/>
        <v>446.00124499889603</v>
      </c>
      <c r="W9" s="110">
        <f t="shared" si="10"/>
        <v>422.71525239675668</v>
      </c>
      <c r="X9" s="208">
        <f t="shared" si="11"/>
        <v>1056.7881309918916</v>
      </c>
      <c r="Z9" s="3" t="s">
        <v>45</v>
      </c>
      <c r="AA9" s="211"/>
      <c r="AB9" s="110">
        <f t="shared" si="12"/>
        <v>0</v>
      </c>
      <c r="AC9" s="86">
        <f t="shared" si="13"/>
        <v>0</v>
      </c>
      <c r="AD9" s="110">
        <f t="shared" si="14"/>
        <v>0</v>
      </c>
      <c r="AE9" s="208">
        <f t="shared" si="15"/>
        <v>0</v>
      </c>
      <c r="AG9" s="3" t="s">
        <v>45</v>
      </c>
      <c r="AH9" s="211"/>
      <c r="AI9" s="110">
        <f t="shared" si="16"/>
        <v>4227.1525239675675</v>
      </c>
      <c r="AJ9" s="86">
        <f t="shared" si="17"/>
        <v>44.588667182466963</v>
      </c>
      <c r="AK9" s="110">
        <f t="shared" si="18"/>
        <v>42.271525239675668</v>
      </c>
      <c r="AL9" s="208">
        <f t="shared" si="19"/>
        <v>105.67881309918917</v>
      </c>
      <c r="AN9" s="3" t="s">
        <v>45</v>
      </c>
      <c r="AO9" s="211"/>
      <c r="AP9" s="110">
        <f t="shared" si="20"/>
        <v>21112.81390906711</v>
      </c>
      <c r="AQ9" s="86">
        <f t="shared" si="21"/>
        <v>222.72787356425985</v>
      </c>
      <c r="AR9" s="110">
        <f t="shared" si="22"/>
        <v>211.12813909067108</v>
      </c>
      <c r="AS9" s="208">
        <f t="shared" si="23"/>
        <v>527.82034772667771</v>
      </c>
      <c r="AU9" s="3" t="s">
        <v>45</v>
      </c>
      <c r="AV9" s="211"/>
      <c r="AW9" s="110">
        <f t="shared" si="24"/>
        <v>42271.52523967567</v>
      </c>
      <c r="AX9" s="86">
        <f t="shared" si="25"/>
        <v>446.00124499889603</v>
      </c>
      <c r="AY9" s="110">
        <f t="shared" si="26"/>
        <v>422.71525239675668</v>
      </c>
      <c r="AZ9" s="208">
        <f t="shared" si="27"/>
        <v>1056.7881309918916</v>
      </c>
      <c r="BB9" s="3" t="s">
        <v>45</v>
      </c>
      <c r="BC9" s="211"/>
      <c r="BD9" s="110">
        <f t="shared" si="28"/>
        <v>84543.050479351339</v>
      </c>
      <c r="BE9" s="86">
        <f t="shared" si="29"/>
        <v>892.25723520579584</v>
      </c>
      <c r="BF9" s="110">
        <f t="shared" si="30"/>
        <v>845.43050479351336</v>
      </c>
      <c r="BG9" s="208">
        <f t="shared" si="31"/>
        <v>2113.5762619837833</v>
      </c>
    </row>
    <row r="10" spans="2:59" x14ac:dyDescent="0.35">
      <c r="B10" s="210">
        <v>5</v>
      </c>
      <c r="C10" s="3" t="s">
        <v>5</v>
      </c>
      <c r="D10" s="307">
        <v>0.79200000000000004</v>
      </c>
      <c r="E10" s="217">
        <v>0.99</v>
      </c>
      <c r="F10" s="277">
        <v>3</v>
      </c>
      <c r="G10" s="19">
        <f t="shared" si="0"/>
        <v>2.3760000000000003</v>
      </c>
      <c r="H10" s="110">
        <f t="shared" si="1"/>
        <v>25780.679333920991</v>
      </c>
      <c r="I10" s="110">
        <f t="shared" si="2"/>
        <v>23760.000000000004</v>
      </c>
      <c r="J10" s="208">
        <f t="shared" si="3"/>
        <v>88656.716417910458</v>
      </c>
      <c r="L10" s="3" t="s">
        <v>5</v>
      </c>
      <c r="M10" s="238"/>
      <c r="N10" s="110">
        <f t="shared" si="4"/>
        <v>23744.005666541234</v>
      </c>
      <c r="O10" s="86">
        <f t="shared" si="5"/>
        <v>250.51984825469913</v>
      </c>
      <c r="P10" s="110">
        <f t="shared" si="6"/>
        <v>237.44005666541233</v>
      </c>
      <c r="Q10" s="208">
        <f t="shared" si="7"/>
        <v>593.60014166353074</v>
      </c>
      <c r="S10" s="3" t="s">
        <v>5</v>
      </c>
      <c r="T10" s="238"/>
      <c r="U10" s="110">
        <f t="shared" si="8"/>
        <v>23744.005666541234</v>
      </c>
      <c r="V10" s="86">
        <f t="shared" si="9"/>
        <v>250.51984825469913</v>
      </c>
      <c r="W10" s="110">
        <f t="shared" si="10"/>
        <v>237.44005666541233</v>
      </c>
      <c r="X10" s="208">
        <f t="shared" si="11"/>
        <v>593.60014166353074</v>
      </c>
      <c r="Z10" s="3" t="s">
        <v>5</v>
      </c>
      <c r="AA10" s="211"/>
      <c r="AB10" s="110">
        <f t="shared" si="12"/>
        <v>0</v>
      </c>
      <c r="AC10" s="86">
        <f t="shared" si="13"/>
        <v>0</v>
      </c>
      <c r="AD10" s="110">
        <f t="shared" si="14"/>
        <v>0</v>
      </c>
      <c r="AE10" s="208">
        <f t="shared" si="15"/>
        <v>0</v>
      </c>
      <c r="AG10" s="3" t="s">
        <v>5</v>
      </c>
      <c r="AH10" s="211"/>
      <c r="AI10" s="110">
        <f t="shared" si="16"/>
        <v>2374.4005666541234</v>
      </c>
      <c r="AJ10" s="86">
        <f t="shared" si="17"/>
        <v>25.045549225896341</v>
      </c>
      <c r="AK10" s="110">
        <f t="shared" si="18"/>
        <v>23.744005666541231</v>
      </c>
      <c r="AL10" s="208">
        <f t="shared" si="19"/>
        <v>59.360014166353075</v>
      </c>
      <c r="AN10" s="3" t="s">
        <v>5</v>
      </c>
      <c r="AO10" s="211"/>
      <c r="AP10" s="110">
        <f t="shared" si="20"/>
        <v>11859.112493603656</v>
      </c>
      <c r="AQ10" s="86">
        <f t="shared" si="21"/>
        <v>125.10672047013747</v>
      </c>
      <c r="AR10" s="110">
        <f t="shared" si="22"/>
        <v>118.59112493603655</v>
      </c>
      <c r="AS10" s="208">
        <f t="shared" si="23"/>
        <v>296.47781234009136</v>
      </c>
      <c r="AU10" s="3" t="s">
        <v>5</v>
      </c>
      <c r="AV10" s="211"/>
      <c r="AW10" s="110">
        <f t="shared" si="24"/>
        <v>23744.005666541234</v>
      </c>
      <c r="AX10" s="86">
        <f t="shared" si="25"/>
        <v>250.51984825469913</v>
      </c>
      <c r="AY10" s="110">
        <f t="shared" si="26"/>
        <v>237.44005666541233</v>
      </c>
      <c r="AZ10" s="208">
        <f t="shared" si="27"/>
        <v>593.60014166353074</v>
      </c>
      <c r="BB10" s="3" t="s">
        <v>5</v>
      </c>
      <c r="BC10" s="211"/>
      <c r="BD10" s="110">
        <f t="shared" si="28"/>
        <v>47488.011333082468</v>
      </c>
      <c r="BE10" s="86">
        <f t="shared" si="29"/>
        <v>501.18278743474502</v>
      </c>
      <c r="BF10" s="110">
        <f t="shared" si="30"/>
        <v>474.88011333082466</v>
      </c>
      <c r="BG10" s="208">
        <f t="shared" si="31"/>
        <v>1187.2002833270615</v>
      </c>
    </row>
    <row r="11" spans="2:59" x14ac:dyDescent="0.35">
      <c r="B11" s="210">
        <v>6</v>
      </c>
      <c r="C11" s="3" t="s">
        <v>6</v>
      </c>
      <c r="D11" s="308">
        <v>0.78927000000000003</v>
      </c>
      <c r="E11" s="217">
        <v>0.99</v>
      </c>
      <c r="F11" s="277">
        <f>F20*0.4</f>
        <v>26.8</v>
      </c>
      <c r="G11" s="277">
        <f>D11*F11</f>
        <v>21.152436000000002</v>
      </c>
      <c r="H11" s="279">
        <f t="shared" si="1"/>
        <v>229513.53941384106</v>
      </c>
      <c r="I11" s="110">
        <f t="shared" si="2"/>
        <v>211524.36000000002</v>
      </c>
      <c r="J11" s="208">
        <f t="shared" si="3"/>
        <v>789270</v>
      </c>
      <c r="L11" s="3" t="s">
        <v>6</v>
      </c>
      <c r="M11" s="238"/>
      <c r="N11" s="110">
        <f>H11*N$19+M20*0.4*D11*1000*1000</f>
        <v>31466473.969800148</v>
      </c>
      <c r="O11" s="110">
        <f t="shared" si="5"/>
        <v>331998.58502110431</v>
      </c>
      <c r="P11" s="110">
        <f t="shared" si="6"/>
        <v>314664.73969800147</v>
      </c>
      <c r="Q11" s="208">
        <f t="shared" si="7"/>
        <v>786661.84924500366</v>
      </c>
      <c r="S11" s="3" t="s">
        <v>6</v>
      </c>
      <c r="T11" s="238"/>
      <c r="U11" s="110">
        <f>H11*U$19+T20*0.4*D11*1000*1000</f>
        <v>31466473.969800148</v>
      </c>
      <c r="V11" s="110">
        <f t="shared" si="9"/>
        <v>331998.58502110431</v>
      </c>
      <c r="W11" s="110">
        <f t="shared" si="10"/>
        <v>314664.73969800147</v>
      </c>
      <c r="X11" s="208">
        <f t="shared" si="11"/>
        <v>786661.84924500366</v>
      </c>
      <c r="Z11" s="3" t="s">
        <v>6</v>
      </c>
      <c r="AA11" s="211"/>
      <c r="AB11" s="110">
        <f>H11*AB$19+AA20*0.4*D11*1000*1000</f>
        <v>31570800.000000004</v>
      </c>
      <c r="AC11" s="110">
        <f t="shared" si="13"/>
        <v>333004.24023795966</v>
      </c>
      <c r="AD11" s="110">
        <f t="shared" si="14"/>
        <v>315708</v>
      </c>
      <c r="AE11" s="208">
        <f t="shared" si="15"/>
        <v>789270</v>
      </c>
      <c r="AG11" s="3" t="s">
        <v>6</v>
      </c>
      <c r="AH11" s="211"/>
      <c r="AI11" s="110">
        <f>H11*AI$19+AH20*0.4*D11*1000*1000</f>
        <v>31560367.396980025</v>
      </c>
      <c r="AJ11" s="110">
        <f t="shared" si="17"/>
        <v>332903.70055053174</v>
      </c>
      <c r="AK11" s="110">
        <f t="shared" si="18"/>
        <v>315603.67396980023</v>
      </c>
      <c r="AL11" s="208">
        <f t="shared" si="19"/>
        <v>789009.18492450053</v>
      </c>
      <c r="AN11" s="3" t="s">
        <v>6</v>
      </c>
      <c r="AO11" s="211"/>
      <c r="AP11" s="110">
        <f>H11*AP$19+AO20*0.4*D11*1000*1000</f>
        <v>31518522.22813037</v>
      </c>
      <c r="AQ11" s="110">
        <f t="shared" si="21"/>
        <v>332502.02763093088</v>
      </c>
      <c r="AR11" s="110">
        <f t="shared" si="22"/>
        <v>315185.22228130366</v>
      </c>
      <c r="AS11" s="208">
        <f t="shared" si="23"/>
        <v>787963.05570325907</v>
      </c>
      <c r="AU11" s="3" t="s">
        <v>6</v>
      </c>
      <c r="AV11" s="211"/>
      <c r="AW11" s="110">
        <f>H11*AW$19+AV20*0.4*D11*1000*1000</f>
        <v>31466473.969800148</v>
      </c>
      <c r="AX11" s="110">
        <f t="shared" si="25"/>
        <v>331998.58502110431</v>
      </c>
      <c r="AY11" s="110">
        <f t="shared" si="26"/>
        <v>314664.73969800147</v>
      </c>
      <c r="AZ11" s="208">
        <f t="shared" si="27"/>
        <v>786661.84924500366</v>
      </c>
      <c r="BB11" s="3" t="s">
        <v>6</v>
      </c>
      <c r="BC11" s="211"/>
      <c r="BD11" s="110">
        <f>H11*BD$19+BC20*0.4*D11*1000*1000</f>
        <v>31362147.9396003</v>
      </c>
      <c r="BE11" s="110">
        <f t="shared" si="29"/>
        <v>330992.35539812298</v>
      </c>
      <c r="BF11" s="110">
        <f t="shared" si="30"/>
        <v>313621.47939600301</v>
      </c>
      <c r="BG11" s="208">
        <f t="shared" si="31"/>
        <v>784053.69849000743</v>
      </c>
    </row>
    <row r="12" spans="2:59" x14ac:dyDescent="0.35">
      <c r="B12" s="210">
        <v>7</v>
      </c>
      <c r="C12" s="3" t="s">
        <v>14</v>
      </c>
      <c r="D12" s="307">
        <v>0.80800000000000005</v>
      </c>
      <c r="E12" s="217">
        <v>0.99</v>
      </c>
      <c r="F12" s="277">
        <v>3</v>
      </c>
      <c r="G12" s="19">
        <f t="shared" si="0"/>
        <v>2.4240000000000004</v>
      </c>
      <c r="H12" s="110">
        <f t="shared" si="1"/>
        <v>26301.501138646669</v>
      </c>
      <c r="I12" s="110">
        <f t="shared" si="2"/>
        <v>24240.000000000004</v>
      </c>
      <c r="J12" s="208">
        <f t="shared" si="3"/>
        <v>90447.761194029852</v>
      </c>
      <c r="L12" s="3" t="s">
        <v>14</v>
      </c>
      <c r="M12" s="238"/>
      <c r="N12" s="110">
        <f t="shared" si="4"/>
        <v>24223.682548693581</v>
      </c>
      <c r="O12" s="86">
        <f t="shared" si="5"/>
        <v>255.58085529014758</v>
      </c>
      <c r="P12" s="110">
        <f t="shared" si="6"/>
        <v>242.2368254869358</v>
      </c>
      <c r="Q12" s="208">
        <f t="shared" si="7"/>
        <v>605.59206371733944</v>
      </c>
      <c r="S12" s="3" t="s">
        <v>14</v>
      </c>
      <c r="T12" s="238"/>
      <c r="U12" s="110">
        <f t="shared" si="8"/>
        <v>24223.682548693581</v>
      </c>
      <c r="V12" s="86">
        <f t="shared" si="9"/>
        <v>255.58085529014758</v>
      </c>
      <c r="W12" s="110">
        <f t="shared" si="10"/>
        <v>242.2368254869358</v>
      </c>
      <c r="X12" s="208">
        <f t="shared" si="11"/>
        <v>605.59206371733944</v>
      </c>
      <c r="Z12" s="3" t="s">
        <v>14</v>
      </c>
      <c r="AA12" s="211"/>
      <c r="AB12" s="110">
        <f t="shared" si="12"/>
        <v>0</v>
      </c>
      <c r="AC12" s="86">
        <f t="shared" si="13"/>
        <v>0</v>
      </c>
      <c r="AD12" s="110">
        <f t="shared" si="14"/>
        <v>0</v>
      </c>
      <c r="AE12" s="208">
        <f t="shared" si="15"/>
        <v>0</v>
      </c>
      <c r="AG12" s="3" t="s">
        <v>14</v>
      </c>
      <c r="AH12" s="211"/>
      <c r="AI12" s="110">
        <f t="shared" si="16"/>
        <v>2422.3682548693582</v>
      </c>
      <c r="AJ12" s="86">
        <f t="shared" si="17"/>
        <v>25.551519917328591</v>
      </c>
      <c r="AK12" s="110">
        <f t="shared" si="18"/>
        <v>24.223682548693581</v>
      </c>
      <c r="AL12" s="208">
        <f t="shared" si="19"/>
        <v>60.55920637173395</v>
      </c>
      <c r="AN12" s="3" t="s">
        <v>14</v>
      </c>
      <c r="AO12" s="211"/>
      <c r="AP12" s="110">
        <f t="shared" si="20"/>
        <v>12098.690523777468</v>
      </c>
      <c r="AQ12" s="86">
        <f t="shared" si="21"/>
        <v>127.63412896448369</v>
      </c>
      <c r="AR12" s="110">
        <f t="shared" si="22"/>
        <v>120.98690523777468</v>
      </c>
      <c r="AS12" s="208">
        <f t="shared" si="23"/>
        <v>302.4672630944367</v>
      </c>
      <c r="AU12" s="3" t="s">
        <v>14</v>
      </c>
      <c r="AV12" s="211"/>
      <c r="AW12" s="110">
        <f t="shared" si="24"/>
        <v>24223.682548693581</v>
      </c>
      <c r="AX12" s="86">
        <f t="shared" si="25"/>
        <v>255.58085529014758</v>
      </c>
      <c r="AY12" s="110">
        <f t="shared" si="26"/>
        <v>242.2368254869358</v>
      </c>
      <c r="AZ12" s="208">
        <f t="shared" si="27"/>
        <v>605.59206371733944</v>
      </c>
      <c r="BB12" s="3" t="s">
        <v>14</v>
      </c>
      <c r="BC12" s="211"/>
      <c r="BD12" s="110">
        <f t="shared" si="28"/>
        <v>48447.365097387163</v>
      </c>
      <c r="BE12" s="86">
        <f t="shared" si="29"/>
        <v>511.30769223140652</v>
      </c>
      <c r="BF12" s="110">
        <f t="shared" si="30"/>
        <v>484.4736509738716</v>
      </c>
      <c r="BG12" s="208">
        <f t="shared" si="31"/>
        <v>1211.1841274346789</v>
      </c>
    </row>
    <row r="13" spans="2:59" ht="15.5" customHeight="1" x14ac:dyDescent="0.35">
      <c r="B13" s="210">
        <v>8</v>
      </c>
      <c r="C13" s="3" t="s">
        <v>15</v>
      </c>
      <c r="D13" s="307">
        <v>0.80300000000000005</v>
      </c>
      <c r="E13" s="217">
        <v>0.99</v>
      </c>
      <c r="F13" s="277">
        <v>3</v>
      </c>
      <c r="G13" s="19">
        <f t="shared" si="0"/>
        <v>2.4090000000000003</v>
      </c>
      <c r="H13" s="110">
        <f t="shared" si="1"/>
        <v>26138.744324669893</v>
      </c>
      <c r="I13" s="110">
        <f t="shared" si="2"/>
        <v>24090.000000000004</v>
      </c>
      <c r="J13" s="208">
        <f t="shared" si="3"/>
        <v>89888.059701492544</v>
      </c>
      <c r="L13" s="3" t="s">
        <v>15</v>
      </c>
      <c r="M13" s="238"/>
      <c r="N13" s="110">
        <f t="shared" si="4"/>
        <v>24073.783523020971</v>
      </c>
      <c r="O13" s="86">
        <f t="shared" si="5"/>
        <v>253.99929059156992</v>
      </c>
      <c r="P13" s="110">
        <f t="shared" si="6"/>
        <v>240.7378352302097</v>
      </c>
      <c r="Q13" s="208">
        <f t="shared" si="7"/>
        <v>601.84458807552426</v>
      </c>
      <c r="S13" s="3" t="s">
        <v>15</v>
      </c>
      <c r="T13" s="238"/>
      <c r="U13" s="110">
        <f t="shared" si="8"/>
        <v>24073.783523020971</v>
      </c>
      <c r="V13" s="86">
        <f t="shared" si="9"/>
        <v>253.99929059156992</v>
      </c>
      <c r="W13" s="110">
        <f t="shared" si="10"/>
        <v>240.7378352302097</v>
      </c>
      <c r="X13" s="208">
        <f t="shared" si="11"/>
        <v>601.84458807552426</v>
      </c>
      <c r="Z13" s="3" t="s">
        <v>15</v>
      </c>
      <c r="AA13" s="211"/>
      <c r="AB13" s="110">
        <f t="shared" si="12"/>
        <v>0</v>
      </c>
      <c r="AC13" s="86">
        <f t="shared" si="13"/>
        <v>0</v>
      </c>
      <c r="AD13" s="110">
        <f t="shared" si="14"/>
        <v>0</v>
      </c>
      <c r="AE13" s="208">
        <f t="shared" si="15"/>
        <v>0</v>
      </c>
      <c r="AG13" s="3" t="s">
        <v>15</v>
      </c>
      <c r="AH13" s="211"/>
      <c r="AI13" s="110">
        <f t="shared" si="16"/>
        <v>2407.378352302097</v>
      </c>
      <c r="AJ13" s="86">
        <f t="shared" si="17"/>
        <v>25.393404076256008</v>
      </c>
      <c r="AK13" s="110">
        <f t="shared" si="18"/>
        <v>24.073783523020968</v>
      </c>
      <c r="AL13" s="208">
        <f t="shared" si="19"/>
        <v>60.184458807552417</v>
      </c>
      <c r="AN13" s="3" t="s">
        <v>15</v>
      </c>
      <c r="AO13" s="211"/>
      <c r="AP13" s="110">
        <f t="shared" si="20"/>
        <v>12023.822389348152</v>
      </c>
      <c r="AQ13" s="86">
        <f t="shared" si="21"/>
        <v>126.8443138100005</v>
      </c>
      <c r="AR13" s="110">
        <f t="shared" si="22"/>
        <v>120.2382238934815</v>
      </c>
      <c r="AS13" s="208">
        <f t="shared" si="23"/>
        <v>300.59555973370374</v>
      </c>
      <c r="AU13" s="3" t="s">
        <v>15</v>
      </c>
      <c r="AV13" s="211"/>
      <c r="AW13" s="110">
        <f t="shared" si="24"/>
        <v>24073.783523020971</v>
      </c>
      <c r="AX13" s="86">
        <f t="shared" si="25"/>
        <v>253.99929059156992</v>
      </c>
      <c r="AY13" s="110">
        <f t="shared" si="26"/>
        <v>240.7378352302097</v>
      </c>
      <c r="AZ13" s="208">
        <f t="shared" si="27"/>
        <v>601.84458807552426</v>
      </c>
      <c r="BB13" s="3" t="s">
        <v>15</v>
      </c>
      <c r="BC13" s="211"/>
      <c r="BD13" s="110">
        <f t="shared" si="28"/>
        <v>48147.567046041942</v>
      </c>
      <c r="BE13" s="86">
        <f t="shared" si="29"/>
        <v>508.14365948244978</v>
      </c>
      <c r="BF13" s="110">
        <f t="shared" si="30"/>
        <v>481.47567046041939</v>
      </c>
      <c r="BG13" s="208">
        <f t="shared" si="31"/>
        <v>1203.6891761510485</v>
      </c>
    </row>
    <row r="14" spans="2:59" ht="16" customHeight="1" x14ac:dyDescent="0.35">
      <c r="B14" s="210">
        <v>9</v>
      </c>
      <c r="C14" s="3" t="s">
        <v>1</v>
      </c>
      <c r="D14" s="221">
        <v>0.80200000000000005</v>
      </c>
      <c r="E14" s="217">
        <v>0.99</v>
      </c>
      <c r="F14" s="277">
        <v>3</v>
      </c>
      <c r="G14" s="19">
        <f t="shared" si="0"/>
        <v>2.4060000000000001</v>
      </c>
      <c r="H14" s="110">
        <f t="shared" si="1"/>
        <v>26106.192961874538</v>
      </c>
      <c r="I14" s="110">
        <f t="shared" si="2"/>
        <v>24060</v>
      </c>
      <c r="J14" s="208">
        <f t="shared" si="3"/>
        <v>89776.119402985074</v>
      </c>
      <c r="L14" s="3" t="s">
        <v>1</v>
      </c>
      <c r="M14" s="238"/>
      <c r="N14" s="110">
        <f t="shared" si="4"/>
        <v>24043.803717886451</v>
      </c>
      <c r="O14" s="86">
        <f t="shared" si="5"/>
        <v>253.6829776518544</v>
      </c>
      <c r="P14" s="110">
        <f t="shared" si="6"/>
        <v>240.4380371788645</v>
      </c>
      <c r="Q14" s="208">
        <f t="shared" si="7"/>
        <v>601.09509294716122</v>
      </c>
      <c r="S14" s="3" t="s">
        <v>1</v>
      </c>
      <c r="T14" s="238"/>
      <c r="U14" s="110">
        <f t="shared" si="8"/>
        <v>24043.803717886451</v>
      </c>
      <c r="V14" s="86">
        <f t="shared" si="9"/>
        <v>253.6829776518544</v>
      </c>
      <c r="W14" s="110">
        <f t="shared" si="10"/>
        <v>240.4380371788645</v>
      </c>
      <c r="X14" s="208">
        <f t="shared" si="11"/>
        <v>601.09509294716122</v>
      </c>
      <c r="Z14" s="3" t="s">
        <v>1</v>
      </c>
      <c r="AA14" s="211"/>
      <c r="AB14" s="110">
        <f t="shared" si="12"/>
        <v>0</v>
      </c>
      <c r="AC14" s="86">
        <f t="shared" si="13"/>
        <v>0</v>
      </c>
      <c r="AD14" s="110">
        <f t="shared" si="14"/>
        <v>0</v>
      </c>
      <c r="AE14" s="208">
        <f t="shared" si="15"/>
        <v>0</v>
      </c>
      <c r="AG14" s="3" t="s">
        <v>1</v>
      </c>
      <c r="AH14" s="211"/>
      <c r="AI14" s="110">
        <f t="shared" si="16"/>
        <v>2404.3803717886449</v>
      </c>
      <c r="AJ14" s="86">
        <f t="shared" si="17"/>
        <v>25.361780908041492</v>
      </c>
      <c r="AK14" s="110">
        <f t="shared" si="18"/>
        <v>24.043803717886448</v>
      </c>
      <c r="AL14" s="208">
        <f t="shared" si="19"/>
        <v>60.109509294716119</v>
      </c>
      <c r="AN14" s="3" t="s">
        <v>1</v>
      </c>
      <c r="AO14" s="211"/>
      <c r="AP14" s="110">
        <f t="shared" si="20"/>
        <v>12008.848762462289</v>
      </c>
      <c r="AQ14" s="86">
        <f t="shared" si="21"/>
        <v>126.68635077910386</v>
      </c>
      <c r="AR14" s="110">
        <f t="shared" si="22"/>
        <v>120.08848762462289</v>
      </c>
      <c r="AS14" s="208">
        <f t="shared" si="23"/>
        <v>300.22121906155718</v>
      </c>
      <c r="AU14" s="3" t="s">
        <v>1</v>
      </c>
      <c r="AV14" s="211"/>
      <c r="AW14" s="110">
        <f t="shared" si="24"/>
        <v>24043.803717886451</v>
      </c>
      <c r="AX14" s="86">
        <f t="shared" si="25"/>
        <v>253.6829776518544</v>
      </c>
      <c r="AY14" s="110">
        <f t="shared" si="26"/>
        <v>240.4380371788645</v>
      </c>
      <c r="AZ14" s="208">
        <f t="shared" si="27"/>
        <v>601.09509294716122</v>
      </c>
      <c r="BB14" s="3" t="s">
        <v>1</v>
      </c>
      <c r="BC14" s="211"/>
      <c r="BD14" s="110">
        <f t="shared" si="28"/>
        <v>48087.607435772901</v>
      </c>
      <c r="BE14" s="86">
        <f t="shared" si="29"/>
        <v>507.51085293265845</v>
      </c>
      <c r="BF14" s="110">
        <f t="shared" si="30"/>
        <v>480.87607435772901</v>
      </c>
      <c r="BG14" s="208">
        <f t="shared" si="31"/>
        <v>1202.1901858943224</v>
      </c>
    </row>
    <row r="15" spans="2:59" x14ac:dyDescent="0.35">
      <c r="B15" s="210">
        <v>10</v>
      </c>
      <c r="C15" s="2" t="s">
        <v>96</v>
      </c>
      <c r="D15" s="16">
        <v>0.82</v>
      </c>
      <c r="E15" s="217">
        <v>0.99</v>
      </c>
      <c r="F15" s="277">
        <v>0</v>
      </c>
      <c r="G15" s="19">
        <v>0</v>
      </c>
      <c r="H15" s="110">
        <f t="shared" si="1"/>
        <v>0</v>
      </c>
      <c r="I15" s="110">
        <f t="shared" si="2"/>
        <v>0</v>
      </c>
      <c r="J15" s="208">
        <f t="shared" si="3"/>
        <v>0</v>
      </c>
      <c r="L15" s="2" t="s">
        <v>96</v>
      </c>
      <c r="M15" s="238"/>
      <c r="N15" s="110">
        <f t="shared" si="4"/>
        <v>0</v>
      </c>
      <c r="O15" s="86">
        <f t="shared" si="5"/>
        <v>0</v>
      </c>
      <c r="P15" s="110">
        <f t="shared" si="6"/>
        <v>0</v>
      </c>
      <c r="Q15" s="208">
        <f t="shared" si="7"/>
        <v>0</v>
      </c>
      <c r="S15" s="2" t="s">
        <v>96</v>
      </c>
      <c r="T15" s="238"/>
      <c r="U15" s="110">
        <f t="shared" si="8"/>
        <v>0</v>
      </c>
      <c r="V15" s="86">
        <f t="shared" si="9"/>
        <v>0</v>
      </c>
      <c r="W15" s="110">
        <f t="shared" si="10"/>
        <v>0</v>
      </c>
      <c r="X15" s="208">
        <f t="shared" si="11"/>
        <v>0</v>
      </c>
      <c r="Z15" s="2" t="s">
        <v>96</v>
      </c>
      <c r="AA15" s="211"/>
      <c r="AB15" s="110">
        <f t="shared" si="12"/>
        <v>0</v>
      </c>
      <c r="AC15" s="86">
        <f t="shared" si="13"/>
        <v>0</v>
      </c>
      <c r="AD15" s="110">
        <f t="shared" si="14"/>
        <v>0</v>
      </c>
      <c r="AE15" s="208">
        <f t="shared" si="15"/>
        <v>0</v>
      </c>
      <c r="AG15" s="2" t="s">
        <v>96</v>
      </c>
      <c r="AH15" s="211"/>
      <c r="AI15" s="110">
        <f t="shared" si="16"/>
        <v>0</v>
      </c>
      <c r="AJ15" s="86">
        <f t="shared" si="17"/>
        <v>0</v>
      </c>
      <c r="AK15" s="110">
        <f t="shared" si="18"/>
        <v>0</v>
      </c>
      <c r="AL15" s="208">
        <f t="shared" si="19"/>
        <v>0</v>
      </c>
      <c r="AN15" s="2" t="s">
        <v>96</v>
      </c>
      <c r="AO15" s="211"/>
      <c r="AP15" s="110">
        <f t="shared" si="20"/>
        <v>0</v>
      </c>
      <c r="AQ15" s="86">
        <f t="shared" si="21"/>
        <v>0</v>
      </c>
      <c r="AR15" s="110">
        <f t="shared" si="22"/>
        <v>0</v>
      </c>
      <c r="AS15" s="208">
        <f t="shared" si="23"/>
        <v>0</v>
      </c>
      <c r="AU15" s="2" t="s">
        <v>96</v>
      </c>
      <c r="AV15" s="211"/>
      <c r="AW15" s="110">
        <f t="shared" si="24"/>
        <v>0</v>
      </c>
      <c r="AX15" s="86">
        <f t="shared" si="25"/>
        <v>0</v>
      </c>
      <c r="AY15" s="110">
        <f t="shared" si="26"/>
        <v>0</v>
      </c>
      <c r="AZ15" s="208">
        <f t="shared" si="27"/>
        <v>0</v>
      </c>
      <c r="BB15" s="2" t="s">
        <v>96</v>
      </c>
      <c r="BC15" s="211"/>
      <c r="BD15" s="110">
        <f t="shared" si="28"/>
        <v>0</v>
      </c>
      <c r="BE15" s="86">
        <f t="shared" si="29"/>
        <v>0</v>
      </c>
      <c r="BF15" s="110">
        <f t="shared" si="30"/>
        <v>0</v>
      </c>
      <c r="BG15" s="208">
        <f t="shared" si="31"/>
        <v>0</v>
      </c>
    </row>
    <row r="16" spans="2:59" x14ac:dyDescent="0.35">
      <c r="B16" s="210">
        <v>11</v>
      </c>
      <c r="C16" s="3" t="s">
        <v>16</v>
      </c>
      <c r="D16" s="221">
        <v>0.80900000000000005</v>
      </c>
      <c r="E16" s="217">
        <v>0.99</v>
      </c>
      <c r="F16" s="277">
        <v>3</v>
      </c>
      <c r="G16" s="19">
        <f t="shared" si="0"/>
        <v>2.427</v>
      </c>
      <c r="H16" s="110">
        <f t="shared" si="1"/>
        <v>26334.05250144202</v>
      </c>
      <c r="I16" s="110">
        <f t="shared" si="2"/>
        <v>24270</v>
      </c>
      <c r="J16" s="208">
        <f t="shared" si="3"/>
        <v>90559.701492537308</v>
      </c>
      <c r="L16" s="3" t="s">
        <v>16</v>
      </c>
      <c r="M16" s="238"/>
      <c r="N16" s="110">
        <f t="shared" si="4"/>
        <v>24253.662353828102</v>
      </c>
      <c r="O16" s="86">
        <f t="shared" si="5"/>
        <v>255.8971682298631</v>
      </c>
      <c r="P16" s="110">
        <f t="shared" si="6"/>
        <v>242.53662353828099</v>
      </c>
      <c r="Q16" s="208">
        <f t="shared" si="7"/>
        <v>606.34155884570248</v>
      </c>
      <c r="S16" s="3" t="s">
        <v>16</v>
      </c>
      <c r="T16" s="238"/>
      <c r="U16" s="110">
        <f t="shared" si="8"/>
        <v>24253.662353828102</v>
      </c>
      <c r="V16" s="86">
        <f t="shared" si="9"/>
        <v>255.8971682298631</v>
      </c>
      <c r="W16" s="110">
        <f t="shared" si="10"/>
        <v>242.53662353828099</v>
      </c>
      <c r="X16" s="208">
        <f t="shared" si="11"/>
        <v>606.34155884570248</v>
      </c>
      <c r="Z16" s="3" t="s">
        <v>16</v>
      </c>
      <c r="AA16" s="211"/>
      <c r="AB16" s="110">
        <f t="shared" si="12"/>
        <v>0</v>
      </c>
      <c r="AC16" s="86">
        <f t="shared" si="13"/>
        <v>0</v>
      </c>
      <c r="AD16" s="110">
        <f t="shared" si="14"/>
        <v>0</v>
      </c>
      <c r="AE16" s="208">
        <f t="shared" si="15"/>
        <v>0</v>
      </c>
      <c r="AG16" s="3" t="s">
        <v>16</v>
      </c>
      <c r="AH16" s="211"/>
      <c r="AI16" s="110">
        <f t="shared" si="16"/>
        <v>2425.3662353828099</v>
      </c>
      <c r="AJ16" s="86">
        <f t="shared" si="17"/>
        <v>25.583143085543099</v>
      </c>
      <c r="AK16" s="110">
        <f t="shared" si="18"/>
        <v>24.253662353828098</v>
      </c>
      <c r="AL16" s="208">
        <f t="shared" si="19"/>
        <v>60.634155884570241</v>
      </c>
      <c r="AN16" s="3" t="s">
        <v>16</v>
      </c>
      <c r="AO16" s="211"/>
      <c r="AP16" s="110">
        <f t="shared" si="20"/>
        <v>12113.66415066333</v>
      </c>
      <c r="AQ16" s="86">
        <f t="shared" si="21"/>
        <v>127.79209199538032</v>
      </c>
      <c r="AR16" s="110">
        <f t="shared" si="22"/>
        <v>121.13664150663328</v>
      </c>
      <c r="AS16" s="208">
        <f t="shared" si="23"/>
        <v>302.84160376658321</v>
      </c>
      <c r="AU16" s="3" t="s">
        <v>16</v>
      </c>
      <c r="AV16" s="211"/>
      <c r="AW16" s="110">
        <f t="shared" si="24"/>
        <v>24253.662353828102</v>
      </c>
      <c r="AX16" s="86">
        <f t="shared" si="25"/>
        <v>255.8971682298631</v>
      </c>
      <c r="AY16" s="110">
        <f t="shared" si="26"/>
        <v>242.53662353828099</v>
      </c>
      <c r="AZ16" s="208">
        <f t="shared" si="27"/>
        <v>606.34155884570248</v>
      </c>
      <c r="BB16" s="3" t="s">
        <v>16</v>
      </c>
      <c r="BC16" s="211"/>
      <c r="BD16" s="110">
        <f t="shared" si="28"/>
        <v>48507.324707656204</v>
      </c>
      <c r="BE16" s="86">
        <f t="shared" si="29"/>
        <v>511.94049878119785</v>
      </c>
      <c r="BF16" s="110">
        <f t="shared" si="30"/>
        <v>485.07324707656198</v>
      </c>
      <c r="BG16" s="208">
        <f t="shared" si="31"/>
        <v>1212.683117691405</v>
      </c>
    </row>
    <row r="17" spans="2:60" ht="16" customHeight="1" x14ac:dyDescent="0.35">
      <c r="B17" s="210">
        <v>12</v>
      </c>
      <c r="C17" s="3" t="s">
        <v>17</v>
      </c>
      <c r="D17" s="221">
        <v>0.81899999999999995</v>
      </c>
      <c r="E17" s="217">
        <v>0.99</v>
      </c>
      <c r="F17" s="277">
        <v>3</v>
      </c>
      <c r="G17" s="19">
        <f t="shared" si="0"/>
        <v>2.4569999999999999</v>
      </c>
      <c r="H17" s="110">
        <f t="shared" si="1"/>
        <v>26659.566129395567</v>
      </c>
      <c r="I17" s="110">
        <f t="shared" si="2"/>
        <v>24570</v>
      </c>
      <c r="J17" s="208">
        <f t="shared" si="3"/>
        <v>91679.104477611938</v>
      </c>
      <c r="L17" s="3" t="s">
        <v>17</v>
      </c>
      <c r="M17" s="238"/>
      <c r="N17" s="110">
        <f t="shared" si="4"/>
        <v>24553.460405173319</v>
      </c>
      <c r="O17" s="86">
        <f t="shared" si="5"/>
        <v>259.06029762701837</v>
      </c>
      <c r="P17" s="110">
        <f t="shared" si="6"/>
        <v>245.53460405173317</v>
      </c>
      <c r="Q17" s="208">
        <f t="shared" si="7"/>
        <v>613.83651012933285</v>
      </c>
      <c r="S17" s="3" t="s">
        <v>17</v>
      </c>
      <c r="T17" s="238"/>
      <c r="U17" s="110">
        <f t="shared" si="8"/>
        <v>24553.460405173319</v>
      </c>
      <c r="V17" s="86">
        <f t="shared" si="9"/>
        <v>259.06029762701837</v>
      </c>
      <c r="W17" s="110">
        <f t="shared" si="10"/>
        <v>245.53460405173317</v>
      </c>
      <c r="X17" s="208">
        <f t="shared" si="11"/>
        <v>613.83651012933285</v>
      </c>
      <c r="Z17" s="3" t="s">
        <v>17</v>
      </c>
      <c r="AA17" s="211"/>
      <c r="AB17" s="110">
        <f t="shared" si="12"/>
        <v>0</v>
      </c>
      <c r="AC17" s="86">
        <f t="shared" si="13"/>
        <v>0</v>
      </c>
      <c r="AD17" s="110">
        <f t="shared" si="14"/>
        <v>0</v>
      </c>
      <c r="AE17" s="208">
        <f t="shared" si="15"/>
        <v>0</v>
      </c>
      <c r="AG17" s="3" t="s">
        <v>17</v>
      </c>
      <c r="AH17" s="211"/>
      <c r="AI17" s="110">
        <f t="shared" si="16"/>
        <v>2455.3460405173319</v>
      </c>
      <c r="AJ17" s="86">
        <f t="shared" si="17"/>
        <v>25.899374767688258</v>
      </c>
      <c r="AK17" s="110">
        <f t="shared" si="18"/>
        <v>24.553460405173315</v>
      </c>
      <c r="AL17" s="208">
        <f t="shared" si="19"/>
        <v>61.383651012933285</v>
      </c>
      <c r="AN17" s="3" t="s">
        <v>17</v>
      </c>
      <c r="AO17" s="211"/>
      <c r="AP17" s="110">
        <f t="shared" si="20"/>
        <v>12263.400419521962</v>
      </c>
      <c r="AQ17" s="86">
        <f t="shared" si="21"/>
        <v>129.37172230434669</v>
      </c>
      <c r="AR17" s="110">
        <f t="shared" si="22"/>
        <v>122.63400419521962</v>
      </c>
      <c r="AS17" s="208">
        <f t="shared" si="23"/>
        <v>306.58501048804902</v>
      </c>
      <c r="AU17" s="3" t="s">
        <v>17</v>
      </c>
      <c r="AV17" s="211"/>
      <c r="AW17" s="110">
        <f t="shared" si="24"/>
        <v>24553.460405173319</v>
      </c>
      <c r="AX17" s="86">
        <f t="shared" si="25"/>
        <v>259.06029762701837</v>
      </c>
      <c r="AY17" s="110">
        <f t="shared" si="26"/>
        <v>245.53460405173317</v>
      </c>
      <c r="AZ17" s="208">
        <f t="shared" si="27"/>
        <v>613.83651012933285</v>
      </c>
      <c r="BB17" s="3" t="s">
        <v>17</v>
      </c>
      <c r="BC17" s="211"/>
      <c r="BD17" s="110">
        <f t="shared" si="28"/>
        <v>49106.920810346637</v>
      </c>
      <c r="BE17" s="86">
        <f t="shared" si="29"/>
        <v>518.26856427911127</v>
      </c>
      <c r="BF17" s="110">
        <f t="shared" si="30"/>
        <v>491.06920810346634</v>
      </c>
      <c r="BG17" s="208">
        <f t="shared" si="31"/>
        <v>1227.6730202586657</v>
      </c>
    </row>
    <row r="18" spans="2:60" ht="13" customHeight="1" x14ac:dyDescent="0.35">
      <c r="B18" s="210">
        <v>13</v>
      </c>
      <c r="C18" s="4" t="s">
        <v>18</v>
      </c>
      <c r="D18" s="309">
        <v>0.81040000000000001</v>
      </c>
      <c r="E18" s="270">
        <v>0.99</v>
      </c>
      <c r="F18" s="284">
        <v>3</v>
      </c>
      <c r="G18" s="273">
        <f t="shared" si="0"/>
        <v>2.4312</v>
      </c>
      <c r="H18" s="286">
        <f t="shared" si="1"/>
        <v>26379.624409355514</v>
      </c>
      <c r="I18" s="286">
        <f t="shared" si="2"/>
        <v>24311.999999999996</v>
      </c>
      <c r="J18" s="287">
        <f t="shared" si="3"/>
        <v>90716.417910447737</v>
      </c>
      <c r="L18" s="3" t="s">
        <v>18</v>
      </c>
      <c r="M18" s="238"/>
      <c r="N18" s="110">
        <f t="shared" si="4"/>
        <v>24295.634081016429</v>
      </c>
      <c r="O18" s="86">
        <f t="shared" si="5"/>
        <v>256.34000634546481</v>
      </c>
      <c r="P18" s="110">
        <f t="shared" si="6"/>
        <v>242.95634081016431</v>
      </c>
      <c r="Q18" s="208">
        <f t="shared" si="7"/>
        <v>607.39085202541071</v>
      </c>
      <c r="S18" s="3" t="s">
        <v>18</v>
      </c>
      <c r="T18" s="238"/>
      <c r="U18" s="110">
        <f t="shared" si="8"/>
        <v>24295.634081016429</v>
      </c>
      <c r="V18" s="86">
        <f t="shared" si="9"/>
        <v>256.34000634546481</v>
      </c>
      <c r="W18" s="110">
        <f t="shared" si="10"/>
        <v>242.95634081016431</v>
      </c>
      <c r="X18" s="208">
        <f t="shared" si="11"/>
        <v>607.39085202541071</v>
      </c>
      <c r="Z18" s="3" t="s">
        <v>18</v>
      </c>
      <c r="AA18" s="301"/>
      <c r="AB18" s="286">
        <f t="shared" si="12"/>
        <v>0</v>
      </c>
      <c r="AC18" s="302">
        <f t="shared" si="13"/>
        <v>0</v>
      </c>
      <c r="AD18" s="286">
        <f t="shared" si="14"/>
        <v>0</v>
      </c>
      <c r="AE18" s="287">
        <f t="shared" si="15"/>
        <v>0</v>
      </c>
      <c r="AG18" s="3" t="s">
        <v>18</v>
      </c>
      <c r="AH18" s="301"/>
      <c r="AI18" s="286">
        <f t="shared" si="16"/>
        <v>2429.5634081016428</v>
      </c>
      <c r="AJ18" s="302">
        <f t="shared" si="17"/>
        <v>25.627415521043421</v>
      </c>
      <c r="AK18" s="286">
        <f t="shared" si="18"/>
        <v>24.295634081016424</v>
      </c>
      <c r="AL18" s="287">
        <f t="shared" si="19"/>
        <v>60.739085202541055</v>
      </c>
      <c r="AN18" s="3" t="s">
        <v>18</v>
      </c>
      <c r="AO18" s="301"/>
      <c r="AP18" s="286">
        <f t="shared" si="20"/>
        <v>12134.627228303538</v>
      </c>
      <c r="AQ18" s="302">
        <f t="shared" si="21"/>
        <v>128.0132402386356</v>
      </c>
      <c r="AR18" s="286">
        <f t="shared" si="22"/>
        <v>121.34627228303538</v>
      </c>
      <c r="AS18" s="287">
        <f t="shared" si="23"/>
        <v>303.36568070758841</v>
      </c>
      <c r="AU18" s="3" t="s">
        <v>18</v>
      </c>
      <c r="AV18" s="301"/>
      <c r="AW18" s="286">
        <f t="shared" si="24"/>
        <v>24295.634081016429</v>
      </c>
      <c r="AX18" s="302">
        <f t="shared" si="25"/>
        <v>256.34000634546481</v>
      </c>
      <c r="AY18" s="286">
        <f t="shared" si="26"/>
        <v>242.95634081016431</v>
      </c>
      <c r="AZ18" s="287">
        <f t="shared" si="27"/>
        <v>607.39085202541071</v>
      </c>
      <c r="BB18" s="3" t="s">
        <v>18</v>
      </c>
      <c r="BC18" s="301"/>
      <c r="BD18" s="286">
        <f t="shared" si="28"/>
        <v>48591.268162032859</v>
      </c>
      <c r="BE18" s="302">
        <f t="shared" si="29"/>
        <v>512.82642795090567</v>
      </c>
      <c r="BF18" s="286">
        <f t="shared" si="30"/>
        <v>485.91268162032861</v>
      </c>
      <c r="BG18" s="287">
        <f t="shared" si="31"/>
        <v>1214.7817040508214</v>
      </c>
    </row>
    <row r="19" spans="2:60" ht="13" customHeight="1" x14ac:dyDescent="0.35">
      <c r="B19" s="210">
        <v>14</v>
      </c>
      <c r="C19" s="3" t="s">
        <v>108</v>
      </c>
      <c r="D19" s="281"/>
      <c r="E19" s="217"/>
      <c r="F19" s="238"/>
      <c r="G19" s="238"/>
      <c r="H19" s="110"/>
      <c r="I19" s="110"/>
      <c r="J19" s="208"/>
      <c r="L19" s="113" t="s">
        <v>109</v>
      </c>
      <c r="M19" s="297">
        <v>1</v>
      </c>
      <c r="N19" s="295">
        <v>0.92100000000000004</v>
      </c>
      <c r="O19" s="280"/>
      <c r="P19" s="280"/>
      <c r="Q19" s="209"/>
      <c r="S19" s="113" t="s">
        <v>109</v>
      </c>
      <c r="T19" s="297">
        <v>1</v>
      </c>
      <c r="U19" s="295">
        <v>0.92100000000000004</v>
      </c>
      <c r="V19" s="280"/>
      <c r="W19" s="280"/>
      <c r="X19" s="209"/>
      <c r="Z19" s="113" t="s">
        <v>109</v>
      </c>
      <c r="AA19" s="277">
        <v>0</v>
      </c>
      <c r="AB19" s="42">
        <v>0</v>
      </c>
      <c r="AC19" s="110"/>
      <c r="AD19" s="110"/>
      <c r="AE19" s="208"/>
      <c r="AG19" s="113" t="s">
        <v>109</v>
      </c>
      <c r="AH19" s="277">
        <v>0.1</v>
      </c>
      <c r="AI19" s="295">
        <v>9.2100000000000001E-2</v>
      </c>
      <c r="AJ19" s="110"/>
      <c r="AK19" s="110"/>
      <c r="AL19" s="208"/>
      <c r="AN19" s="113" t="s">
        <v>109</v>
      </c>
      <c r="AO19" s="277">
        <v>0.5</v>
      </c>
      <c r="AP19" s="42">
        <f>AO19*0.92</f>
        <v>0.46</v>
      </c>
      <c r="AQ19" s="110"/>
      <c r="AR19" s="110"/>
      <c r="AS19" s="208"/>
      <c r="AU19" s="113" t="s">
        <v>109</v>
      </c>
      <c r="AV19" s="277">
        <v>1</v>
      </c>
      <c r="AW19" s="42">
        <f>AV19*0.921</f>
        <v>0.92100000000000004</v>
      </c>
      <c r="AX19" s="110"/>
      <c r="AY19" s="110"/>
      <c r="AZ19" s="208"/>
      <c r="BB19" s="113" t="s">
        <v>109</v>
      </c>
      <c r="BC19" s="277">
        <v>2</v>
      </c>
      <c r="BD19" s="42">
        <f>BC19*0.921</f>
        <v>1.8420000000000001</v>
      </c>
      <c r="BE19" s="110"/>
      <c r="BF19" s="110"/>
      <c r="BG19" s="208"/>
    </row>
    <row r="20" spans="2:60" ht="14" customHeight="1" x14ac:dyDescent="0.35">
      <c r="B20" s="210">
        <v>15</v>
      </c>
      <c r="C20" s="272" t="s">
        <v>101</v>
      </c>
      <c r="D20" s="278">
        <v>0.94806000000000001</v>
      </c>
      <c r="E20" s="18"/>
      <c r="F20" s="277">
        <v>67</v>
      </c>
      <c r="G20" s="277">
        <f>G21-(SUM(G6:G10)+SUM(G12:G18))</f>
        <v>63.135840000000016</v>
      </c>
      <c r="H20" s="14"/>
      <c r="I20" s="14"/>
      <c r="J20" s="126"/>
      <c r="L20" s="272" t="s">
        <v>101</v>
      </c>
      <c r="M20" s="298">
        <v>99</v>
      </c>
      <c r="N20" s="19">
        <f>M20*D20</f>
        <v>93.857939999999999</v>
      </c>
      <c r="O20" s="14"/>
      <c r="P20" s="14"/>
      <c r="Q20" s="126"/>
      <c r="S20" s="272" t="s">
        <v>101</v>
      </c>
      <c r="T20" s="298">
        <v>99</v>
      </c>
      <c r="U20" s="19">
        <f>T20*D20</f>
        <v>93.857939999999999</v>
      </c>
      <c r="V20" s="14"/>
      <c r="W20" s="14"/>
      <c r="X20" s="126"/>
      <c r="Z20" s="272" t="s">
        <v>101</v>
      </c>
      <c r="AA20" s="277">
        <v>100</v>
      </c>
      <c r="AB20" s="19">
        <f>AA20*D20</f>
        <v>94.805999999999997</v>
      </c>
      <c r="AC20" s="14"/>
      <c r="AD20" s="14"/>
      <c r="AE20" s="126"/>
      <c r="AG20" s="272" t="s">
        <v>101</v>
      </c>
      <c r="AH20" s="277">
        <v>99.9</v>
      </c>
      <c r="AI20" s="19">
        <f>AH20*D20</f>
        <v>94.711194000000006</v>
      </c>
      <c r="AJ20" s="14"/>
      <c r="AK20" s="14"/>
      <c r="AL20" s="126"/>
      <c r="AN20" s="272" t="s">
        <v>101</v>
      </c>
      <c r="AO20" s="277">
        <v>99.5</v>
      </c>
      <c r="AP20" s="19">
        <f>AO20*D20</f>
        <v>94.331969999999998</v>
      </c>
      <c r="AQ20" s="14"/>
      <c r="AR20" s="14"/>
      <c r="AS20" s="126"/>
      <c r="AU20" s="272" t="s">
        <v>101</v>
      </c>
      <c r="AV20" s="277">
        <v>99</v>
      </c>
      <c r="AW20" s="19">
        <f>AV20*D20</f>
        <v>93.857939999999999</v>
      </c>
      <c r="AX20" s="14"/>
      <c r="AY20" s="14"/>
      <c r="AZ20" s="126"/>
      <c r="BB20" s="272" t="s">
        <v>101</v>
      </c>
      <c r="BC20" s="277">
        <v>98</v>
      </c>
      <c r="BD20" s="19">
        <f>BC20*D20</f>
        <v>92.909880000000001</v>
      </c>
      <c r="BE20" s="14"/>
      <c r="BF20" s="14"/>
      <c r="BG20" s="126"/>
    </row>
    <row r="21" spans="2:60" ht="14" customHeight="1" x14ac:dyDescent="0.35">
      <c r="B21" s="290">
        <v>16</v>
      </c>
      <c r="C21" s="282" t="s">
        <v>97</v>
      </c>
      <c r="D21" s="283"/>
      <c r="E21" s="283"/>
      <c r="F21" s="284">
        <f>SUM(F6:F10)+SUM(F12:F20)</f>
        <v>100</v>
      </c>
      <c r="G21" s="285">
        <v>92.162040000000019</v>
      </c>
      <c r="H21" s="124"/>
      <c r="I21" s="286">
        <f>G21/F21*1000*1000</f>
        <v>921620.40000000026</v>
      </c>
      <c r="J21" s="26"/>
      <c r="L21" s="282" t="s">
        <v>97</v>
      </c>
      <c r="M21" s="299">
        <f>M19+M20</f>
        <v>100</v>
      </c>
      <c r="N21" s="292">
        <f>N19+N20</f>
        <v>94.778940000000006</v>
      </c>
      <c r="O21" s="124"/>
      <c r="P21" s="286">
        <f>N21/M21*1000*1000</f>
        <v>947789.4</v>
      </c>
      <c r="Q21" s="26"/>
      <c r="S21" s="282" t="s">
        <v>97</v>
      </c>
      <c r="T21" s="299">
        <f>T19+T20</f>
        <v>100</v>
      </c>
      <c r="U21" s="292">
        <f>U19+U20</f>
        <v>94.778940000000006</v>
      </c>
      <c r="V21" s="124"/>
      <c r="W21" s="286">
        <f>U21/T21*1000*1000</f>
        <v>947789.4</v>
      </c>
      <c r="X21" s="26"/>
      <c r="Z21" s="282" t="s">
        <v>97</v>
      </c>
      <c r="AA21" s="284">
        <f>AA19+AA20</f>
        <v>100</v>
      </c>
      <c r="AB21" s="292">
        <f>AB19+AB20</f>
        <v>94.805999999999997</v>
      </c>
      <c r="AC21" s="124"/>
      <c r="AD21" s="124"/>
      <c r="AE21" s="26"/>
      <c r="AG21" s="282" t="s">
        <v>97</v>
      </c>
      <c r="AH21" s="284">
        <f>AH19+AH20</f>
        <v>100</v>
      </c>
      <c r="AI21" s="292">
        <f>AI19+AI20</f>
        <v>94.803294000000008</v>
      </c>
      <c r="AJ21" s="124"/>
      <c r="AK21" s="124"/>
      <c r="AL21" s="26"/>
      <c r="AN21" s="282" t="s">
        <v>97</v>
      </c>
      <c r="AO21" s="284">
        <f>AO19+AO20</f>
        <v>100</v>
      </c>
      <c r="AP21" s="292">
        <f>AP19+AP20</f>
        <v>94.791969999999992</v>
      </c>
      <c r="AQ21" s="124"/>
      <c r="AR21" s="124"/>
      <c r="AS21" s="26"/>
      <c r="AU21" s="282" t="s">
        <v>97</v>
      </c>
      <c r="AV21" s="284">
        <f>AV19+AV20</f>
        <v>100</v>
      </c>
      <c r="AW21" s="292">
        <f>AW19+AW20</f>
        <v>94.778940000000006</v>
      </c>
      <c r="AX21" s="124"/>
      <c r="AY21" s="124"/>
      <c r="AZ21" s="26"/>
      <c r="BB21" s="282" t="s">
        <v>97</v>
      </c>
      <c r="BC21" s="284">
        <f>BC19+BC20</f>
        <v>100</v>
      </c>
      <c r="BD21" s="292">
        <f>BD19+BD20</f>
        <v>94.75188</v>
      </c>
      <c r="BE21" s="124"/>
      <c r="BF21" s="124"/>
      <c r="BG21" s="26"/>
    </row>
    <row r="22" spans="2:60" x14ac:dyDescent="0.35">
      <c r="G22" s="311">
        <f>SUM(G6:G10)+SUM(G12:G18)+G20</f>
        <v>92.162040000000019</v>
      </c>
    </row>
    <row r="23" spans="2:60" ht="17.5" x14ac:dyDescent="0.35">
      <c r="B23" s="305"/>
    </row>
    <row r="24" spans="2:60" ht="17.5" customHeight="1" x14ac:dyDescent="0.35">
      <c r="B24" s="305" t="s">
        <v>125</v>
      </c>
      <c r="U24" s="313" t="s">
        <v>129</v>
      </c>
      <c r="V24" s="314"/>
      <c r="W24" s="314"/>
      <c r="AV24" s="288"/>
    </row>
    <row r="25" spans="2:60" x14ac:dyDescent="0.35">
      <c r="T25" s="288" t="s">
        <v>136</v>
      </c>
      <c r="AA25" s="296" t="s">
        <v>115</v>
      </c>
      <c r="AH25" s="296" t="s">
        <v>115</v>
      </c>
      <c r="AO25" s="296" t="s">
        <v>115</v>
      </c>
      <c r="AV25" s="296" t="s">
        <v>115</v>
      </c>
      <c r="BC25" s="296" t="s">
        <v>115</v>
      </c>
      <c r="BH25" s="115"/>
    </row>
    <row r="26" spans="2:60" x14ac:dyDescent="0.35">
      <c r="C26" s="288" t="s">
        <v>103</v>
      </c>
      <c r="E26" s="288" t="s">
        <v>126</v>
      </c>
      <c r="L26" s="288" t="s">
        <v>127</v>
      </c>
      <c r="N26" s="288" t="s">
        <v>128</v>
      </c>
      <c r="S26" s="288" t="s">
        <v>132</v>
      </c>
      <c r="U26" s="288" t="s">
        <v>133</v>
      </c>
      <c r="Z26" s="288" t="s">
        <v>112</v>
      </c>
      <c r="AB26" s="288" t="s">
        <v>113</v>
      </c>
      <c r="AG26" s="288" t="s">
        <v>116</v>
      </c>
      <c r="AI26" s="288" t="s">
        <v>118</v>
      </c>
      <c r="AN26" s="288" t="s">
        <v>117</v>
      </c>
      <c r="AP26" s="288" t="s">
        <v>119</v>
      </c>
      <c r="AU26" s="288" t="s">
        <v>130</v>
      </c>
      <c r="AW26" s="288" t="s">
        <v>134</v>
      </c>
      <c r="BB26" s="288" t="s">
        <v>131</v>
      </c>
      <c r="BD26" s="288" t="s">
        <v>135</v>
      </c>
      <c r="BH26" s="115"/>
    </row>
    <row r="27" spans="2:60" x14ac:dyDescent="0.35">
      <c r="B27" s="291" t="s">
        <v>105</v>
      </c>
      <c r="C27" s="200" t="s">
        <v>0</v>
      </c>
      <c r="D27" s="306" t="s">
        <v>100</v>
      </c>
      <c r="E27" s="182" t="s">
        <v>99</v>
      </c>
      <c r="F27" s="207" t="s">
        <v>95</v>
      </c>
      <c r="G27" s="207" t="s">
        <v>98</v>
      </c>
      <c r="H27" s="294" t="s">
        <v>102</v>
      </c>
      <c r="I27" s="207" t="s">
        <v>57</v>
      </c>
      <c r="J27" s="207" t="s">
        <v>58</v>
      </c>
      <c r="L27" s="200" t="s">
        <v>0</v>
      </c>
      <c r="M27" s="207" t="s">
        <v>95</v>
      </c>
      <c r="N27" s="294" t="s">
        <v>110</v>
      </c>
      <c r="O27" s="294" t="s">
        <v>102</v>
      </c>
      <c r="P27" s="207" t="s">
        <v>57</v>
      </c>
      <c r="Q27" s="207" t="s">
        <v>58</v>
      </c>
      <c r="S27" s="200" t="s">
        <v>0</v>
      </c>
      <c r="T27" s="139" t="s">
        <v>95</v>
      </c>
      <c r="U27" s="293" t="s">
        <v>110</v>
      </c>
      <c r="V27" s="293" t="s">
        <v>102</v>
      </c>
      <c r="W27" s="139" t="s">
        <v>57</v>
      </c>
      <c r="X27" s="139" t="s">
        <v>58</v>
      </c>
      <c r="Z27" s="200" t="s">
        <v>0</v>
      </c>
      <c r="AA27" s="207" t="s">
        <v>95</v>
      </c>
      <c r="AB27" s="294" t="s">
        <v>110</v>
      </c>
      <c r="AC27" s="294" t="s">
        <v>102</v>
      </c>
      <c r="AD27" s="207" t="s">
        <v>57</v>
      </c>
      <c r="AE27" s="207" t="s">
        <v>58</v>
      </c>
      <c r="AG27" s="200" t="s">
        <v>0</v>
      </c>
      <c r="AH27" s="207" t="s">
        <v>95</v>
      </c>
      <c r="AI27" s="294" t="s">
        <v>110</v>
      </c>
      <c r="AJ27" s="294" t="s">
        <v>102</v>
      </c>
      <c r="AK27" s="207" t="s">
        <v>57</v>
      </c>
      <c r="AL27" s="207" t="s">
        <v>58</v>
      </c>
      <c r="AN27" s="200" t="s">
        <v>0</v>
      </c>
      <c r="AO27" s="207" t="s">
        <v>95</v>
      </c>
      <c r="AP27" s="294" t="s">
        <v>110</v>
      </c>
      <c r="AQ27" s="294" t="s">
        <v>102</v>
      </c>
      <c r="AR27" s="207" t="s">
        <v>57</v>
      </c>
      <c r="AS27" s="207" t="s">
        <v>58</v>
      </c>
      <c r="AU27" s="200" t="s">
        <v>0</v>
      </c>
      <c r="AV27" s="207" t="s">
        <v>95</v>
      </c>
      <c r="AW27" s="294" t="s">
        <v>110</v>
      </c>
      <c r="AX27" s="294" t="s">
        <v>102</v>
      </c>
      <c r="AY27" s="207" t="s">
        <v>57</v>
      </c>
      <c r="AZ27" s="207" t="s">
        <v>58</v>
      </c>
      <c r="BB27" s="200" t="s">
        <v>0</v>
      </c>
      <c r="BC27" s="207" t="s">
        <v>95</v>
      </c>
      <c r="BD27" s="294" t="s">
        <v>110</v>
      </c>
      <c r="BE27" s="294" t="s">
        <v>102</v>
      </c>
      <c r="BF27" s="207" t="s">
        <v>57</v>
      </c>
      <c r="BG27" s="207" t="s">
        <v>58</v>
      </c>
      <c r="BH27" s="115"/>
    </row>
    <row r="28" spans="2:60" ht="14" customHeight="1" x14ac:dyDescent="0.35">
      <c r="B28" s="289">
        <v>1</v>
      </c>
      <c r="C28" s="113" t="s">
        <v>2</v>
      </c>
      <c r="D28" s="220">
        <v>0.78800000000000003</v>
      </c>
      <c r="E28" s="274">
        <v>0.99</v>
      </c>
      <c r="F28" s="276">
        <v>2</v>
      </c>
      <c r="G28" s="192">
        <f>D28*F28</f>
        <v>1.5760000000000001</v>
      </c>
      <c r="H28" s="280">
        <f>G28/G$43*1000000</f>
        <v>17100.315921826379</v>
      </c>
      <c r="I28" s="280">
        <f>(G28*1000)/(F$43/1000)</f>
        <v>15760</v>
      </c>
      <c r="J28" s="209">
        <f>I28/(F$33/1000)/10</f>
        <v>50512.820512820508</v>
      </c>
      <c r="L28" s="113" t="s">
        <v>2</v>
      </c>
      <c r="M28" s="300"/>
      <c r="N28" s="280">
        <f>H28*N$41</f>
        <v>78746.954820010476</v>
      </c>
      <c r="O28" s="275">
        <f>N28/N$21</f>
        <v>830.84865498612317</v>
      </c>
      <c r="P28" s="280">
        <f>(N28/1000)/(M$21/1000)</f>
        <v>787.46954820010467</v>
      </c>
      <c r="Q28" s="209">
        <f>P28/0.4</f>
        <v>1968.6738705002615</v>
      </c>
      <c r="S28" s="113" t="s">
        <v>2</v>
      </c>
      <c r="T28" s="275"/>
      <c r="U28" s="110">
        <f>H28*U$19</f>
        <v>15749.390964002096</v>
      </c>
      <c r="V28" s="122">
        <f>U28/U$21</f>
        <v>166.16973099722463</v>
      </c>
      <c r="W28" s="280">
        <f>(U28/1000)/(T$21/1000)</f>
        <v>157.49390964002095</v>
      </c>
      <c r="X28" s="209">
        <f>W28/0.4</f>
        <v>393.73477410005233</v>
      </c>
      <c r="Z28" s="113" t="s">
        <v>2</v>
      </c>
      <c r="AA28" s="300"/>
      <c r="AB28" s="280">
        <f>H28*AB$19</f>
        <v>0</v>
      </c>
      <c r="AC28" s="122">
        <f>AB28/AB$21</f>
        <v>0</v>
      </c>
      <c r="AD28" s="280">
        <f>(AB28/1000)/(AA$21/1000)</f>
        <v>0</v>
      </c>
      <c r="AE28" s="209">
        <f>AD28/0.4</f>
        <v>0</v>
      </c>
      <c r="AG28" s="113" t="s">
        <v>2</v>
      </c>
      <c r="AH28" s="300"/>
      <c r="AI28" s="110">
        <f>H28*AI$41</f>
        <v>1574.9390964002098</v>
      </c>
      <c r="AJ28" s="122">
        <f>AI28/AI$21</f>
        <v>16.612704368692185</v>
      </c>
      <c r="AK28" s="280">
        <f>(AI28/1000)/(AH$21/1000)</f>
        <v>15.749390964002096</v>
      </c>
      <c r="AL28" s="209">
        <f>AK28/0.4</f>
        <v>39.373477410005236</v>
      </c>
      <c r="AN28" s="113" t="s">
        <v>2</v>
      </c>
      <c r="AO28" s="300"/>
      <c r="AP28" s="280">
        <f>H28*AP$41</f>
        <v>7866.1453240401343</v>
      </c>
      <c r="AQ28" s="122">
        <f>AP28/AP$21</f>
        <v>82.983245564367266</v>
      </c>
      <c r="AR28" s="280">
        <f>(AP28/1000)/(AO$21/1000)</f>
        <v>78.661453240401343</v>
      </c>
      <c r="AS28" s="209">
        <f>AR28/0.4</f>
        <v>196.65363310100335</v>
      </c>
      <c r="AU28" s="113" t="s">
        <v>2</v>
      </c>
      <c r="AV28" s="300"/>
      <c r="AW28" s="110">
        <f>H28*AW$41</f>
        <v>78746.954820010476</v>
      </c>
      <c r="AX28" s="122">
        <f>AW28/AW$21</f>
        <v>830.84865498612317</v>
      </c>
      <c r="AY28" s="280">
        <f>(AW28/1000)/(AV$21/1000)</f>
        <v>787.46954820010467</v>
      </c>
      <c r="AZ28" s="209">
        <f>AY28/0.4</f>
        <v>1968.6738705002615</v>
      </c>
      <c r="BB28" s="113" t="s">
        <v>2</v>
      </c>
      <c r="BC28" s="300"/>
      <c r="BD28" s="110">
        <f>H28*BD$41</f>
        <v>472481.72892006289</v>
      </c>
      <c r="BE28" s="86">
        <f>BD28/BD$43</f>
        <v>5026.7115302865795</v>
      </c>
      <c r="BF28" s="280">
        <f>(BD28/1000)/(BC$21/1000)</f>
        <v>4724.8172892006287</v>
      </c>
      <c r="BG28" s="209">
        <f>BF28/0.4</f>
        <v>11812.04322300157</v>
      </c>
      <c r="BH28" s="115"/>
    </row>
    <row r="29" spans="2:60" ht="13.5" customHeight="1" x14ac:dyDescent="0.35">
      <c r="B29" s="210">
        <v>2</v>
      </c>
      <c r="C29" s="3" t="s">
        <v>3</v>
      </c>
      <c r="D29" s="307">
        <v>0.93200000000000005</v>
      </c>
      <c r="E29" s="217">
        <v>0.99</v>
      </c>
      <c r="F29" s="277">
        <v>2</v>
      </c>
      <c r="G29" s="19">
        <f t="shared" ref="G29:G32" si="32">D29*F29</f>
        <v>1.8640000000000001</v>
      </c>
      <c r="H29" s="110">
        <f>G29/G$43*1000000</f>
        <v>20225.246750180442</v>
      </c>
      <c r="I29" s="110">
        <f t="shared" ref="I29:I40" si="33">(G29*1000)/(F$43/1000)</f>
        <v>18640</v>
      </c>
      <c r="J29" s="208">
        <f t="shared" ref="J29:J40" si="34">I29/(F$33/1000)/10</f>
        <v>59743.589743589735</v>
      </c>
      <c r="L29" s="3" t="s">
        <v>3</v>
      </c>
      <c r="M29" s="211"/>
      <c r="N29" s="110">
        <f t="shared" ref="N29:N40" si="35">H29*N$41</f>
        <v>93137.261284580949</v>
      </c>
      <c r="O29" s="86">
        <f t="shared" ref="O29:O40" si="36">N29/N$21</f>
        <v>982.67886604957755</v>
      </c>
      <c r="P29" s="110">
        <f t="shared" ref="P29:P40" si="37">(N29/1000)/(M$21/1000)</f>
        <v>931.37261284580939</v>
      </c>
      <c r="Q29" s="208">
        <f t="shared" ref="Q29:Q40" si="38">P29/0.4</f>
        <v>2328.4315321145232</v>
      </c>
      <c r="S29" s="3" t="s">
        <v>3</v>
      </c>
      <c r="T29" s="238"/>
      <c r="U29" s="110">
        <f t="shared" ref="U29:U32" si="39">H29*U$19</f>
        <v>18627.452256916189</v>
      </c>
      <c r="V29" s="86">
        <f t="shared" ref="V29:V40" si="40">U29/U$21</f>
        <v>196.5357732099155</v>
      </c>
      <c r="W29" s="110">
        <f t="shared" ref="W29:W40" si="41">(U29/1000)/(T$21/1000)</f>
        <v>186.27452256916189</v>
      </c>
      <c r="X29" s="208">
        <f t="shared" ref="X29:X40" si="42">W29/0.4</f>
        <v>465.68630642290469</v>
      </c>
      <c r="Z29" s="3" t="s">
        <v>3</v>
      </c>
      <c r="AA29" s="211"/>
      <c r="AB29" s="110">
        <f t="shared" ref="AB29:AB32" si="43">H29*AB$19</f>
        <v>0</v>
      </c>
      <c r="AC29" s="86">
        <f t="shared" ref="AC29:AC40" si="44">AB29/AB$21</f>
        <v>0</v>
      </c>
      <c r="AD29" s="110">
        <f t="shared" ref="AD29:AD40" si="45">(AB29/1000)/(AA$21/1000)</f>
        <v>0</v>
      </c>
      <c r="AE29" s="208">
        <f t="shared" ref="AE29:AE40" si="46">AD29/0.4</f>
        <v>0</v>
      </c>
      <c r="AG29" s="3" t="s">
        <v>3</v>
      </c>
      <c r="AH29" s="211"/>
      <c r="AI29" s="110">
        <f t="shared" ref="AI29:AI40" si="47">H29*AI$41</f>
        <v>1862.745225691619</v>
      </c>
      <c r="AJ29" s="86">
        <f t="shared" ref="AJ29:AJ40" si="48">AI29/AI$21</f>
        <v>19.648528517285683</v>
      </c>
      <c r="AK29" s="110">
        <f t="shared" ref="AK29:AK40" si="49">(AI29/1000)/(AH$21/1000)</f>
        <v>18.62745225691619</v>
      </c>
      <c r="AL29" s="208">
        <f t="shared" ref="AL29:AL40" si="50">AK29/0.4</f>
        <v>46.568630642290472</v>
      </c>
      <c r="AN29" s="3" t="s">
        <v>3</v>
      </c>
      <c r="AO29" s="211"/>
      <c r="AP29" s="110">
        <f t="shared" ref="AP29:AP40" si="51">H29*AP$41</f>
        <v>9303.6135050830035</v>
      </c>
      <c r="AQ29" s="86">
        <f t="shared" ref="AQ29:AQ40" si="52">AP29/AP$21</f>
        <v>98.147696530444549</v>
      </c>
      <c r="AR29" s="110">
        <f t="shared" ref="AR29:AR40" si="53">(AP29/1000)/(AO$21/1000)</f>
        <v>93.036135050830026</v>
      </c>
      <c r="AS29" s="208">
        <f t="shared" ref="AS29:AS40" si="54">AR29/0.4</f>
        <v>232.59033762707506</v>
      </c>
      <c r="AU29" s="3" t="s">
        <v>3</v>
      </c>
      <c r="AV29" s="211"/>
      <c r="AW29" s="110">
        <f t="shared" ref="AW29:AW40" si="55">H29*AW$41</f>
        <v>93137.261284580949</v>
      </c>
      <c r="AX29" s="86">
        <f t="shared" ref="AX29:AX40" si="56">AW29/AW$21</f>
        <v>982.67886604957755</v>
      </c>
      <c r="AY29" s="110">
        <f t="shared" ref="AY29:AY40" si="57">(AW29/1000)/(AV$21/1000)</f>
        <v>931.37261284580939</v>
      </c>
      <c r="AZ29" s="208">
        <f t="shared" ref="AZ29:AZ40" si="58">AY29/0.4</f>
        <v>2328.4315321145232</v>
      </c>
      <c r="BB29" s="3" t="s">
        <v>3</v>
      </c>
      <c r="BC29" s="211"/>
      <c r="BD29" s="110">
        <f t="shared" ref="BD29:BD40" si="59">H29*BD$41</f>
        <v>558823.56770748564</v>
      </c>
      <c r="BE29" s="86">
        <f t="shared" ref="BE29:BE40" si="60">BD29/BD$43</f>
        <v>5945.2984089176307</v>
      </c>
      <c r="BF29" s="110">
        <f t="shared" ref="BF29:BF40" si="61">(BD29/1000)/(BC$21/1000)</f>
        <v>5588.2356770748556</v>
      </c>
      <c r="BG29" s="208">
        <f t="shared" ref="BG29:BG40" si="62">BF29/0.4</f>
        <v>13970.589192687139</v>
      </c>
      <c r="BH29" s="115"/>
    </row>
    <row r="30" spans="2:60" ht="14" customHeight="1" x14ac:dyDescent="0.35">
      <c r="B30" s="210">
        <v>3</v>
      </c>
      <c r="C30" s="3" t="s">
        <v>4</v>
      </c>
      <c r="D30" s="307">
        <v>0.90200000000000002</v>
      </c>
      <c r="E30" s="217">
        <v>0.99</v>
      </c>
      <c r="F30" s="277">
        <v>2</v>
      </c>
      <c r="G30" s="19">
        <f t="shared" si="32"/>
        <v>1.804</v>
      </c>
      <c r="H30" s="110">
        <f t="shared" ref="H30:H40" si="63">G30/G$43*1000000</f>
        <v>19574.219494273344</v>
      </c>
      <c r="I30" s="110">
        <f t="shared" si="33"/>
        <v>18040</v>
      </c>
      <c r="J30" s="208">
        <f t="shared" si="34"/>
        <v>57820.512820512813</v>
      </c>
      <c r="L30" s="3" t="s">
        <v>4</v>
      </c>
      <c r="M30" s="211"/>
      <c r="N30" s="110">
        <f t="shared" si="35"/>
        <v>90139.280771128761</v>
      </c>
      <c r="O30" s="86">
        <f t="shared" si="36"/>
        <v>951.04757207802447</v>
      </c>
      <c r="P30" s="110">
        <f t="shared" si="37"/>
        <v>901.39280771128767</v>
      </c>
      <c r="Q30" s="208">
        <f t="shared" si="38"/>
        <v>2253.482019278219</v>
      </c>
      <c r="S30" s="3" t="s">
        <v>4</v>
      </c>
      <c r="T30" s="238"/>
      <c r="U30" s="110">
        <f t="shared" si="39"/>
        <v>18027.856154225752</v>
      </c>
      <c r="V30" s="86">
        <f t="shared" si="40"/>
        <v>190.2095144156049</v>
      </c>
      <c r="W30" s="110">
        <f t="shared" si="41"/>
        <v>180.27856154225751</v>
      </c>
      <c r="X30" s="208">
        <f t="shared" si="42"/>
        <v>450.69640385564372</v>
      </c>
      <c r="Z30" s="3" t="s">
        <v>4</v>
      </c>
      <c r="AA30" s="211"/>
      <c r="AB30" s="110">
        <f t="shared" si="43"/>
        <v>0</v>
      </c>
      <c r="AC30" s="86">
        <f t="shared" si="44"/>
        <v>0</v>
      </c>
      <c r="AD30" s="110">
        <f t="shared" si="45"/>
        <v>0</v>
      </c>
      <c r="AE30" s="208">
        <f t="shared" si="46"/>
        <v>0</v>
      </c>
      <c r="AG30" s="3" t="s">
        <v>4</v>
      </c>
      <c r="AH30" s="211"/>
      <c r="AI30" s="110">
        <f t="shared" si="47"/>
        <v>1802.7856154225753</v>
      </c>
      <c r="AJ30" s="86">
        <f t="shared" si="48"/>
        <v>19.01606515299537</v>
      </c>
      <c r="AK30" s="110">
        <f t="shared" si="49"/>
        <v>18.027856154225752</v>
      </c>
      <c r="AL30" s="208">
        <f t="shared" si="50"/>
        <v>45.069640385564377</v>
      </c>
      <c r="AN30" s="3" t="s">
        <v>4</v>
      </c>
      <c r="AO30" s="211"/>
      <c r="AP30" s="110">
        <f t="shared" si="51"/>
        <v>9004.1409673657381</v>
      </c>
      <c r="AQ30" s="86">
        <f t="shared" si="52"/>
        <v>94.988435912511775</v>
      </c>
      <c r="AR30" s="110">
        <f t="shared" si="53"/>
        <v>90.04140967365737</v>
      </c>
      <c r="AS30" s="208">
        <f t="shared" si="54"/>
        <v>225.10352418414342</v>
      </c>
      <c r="AU30" s="3" t="s">
        <v>4</v>
      </c>
      <c r="AV30" s="211"/>
      <c r="AW30" s="110">
        <f t="shared" si="55"/>
        <v>90139.280771128761</v>
      </c>
      <c r="AX30" s="86">
        <f t="shared" si="56"/>
        <v>951.04757207802447</v>
      </c>
      <c r="AY30" s="110">
        <f t="shared" si="57"/>
        <v>901.39280771128767</v>
      </c>
      <c r="AZ30" s="208">
        <f t="shared" si="58"/>
        <v>2253.482019278219</v>
      </c>
      <c r="BB30" s="3" t="s">
        <v>4</v>
      </c>
      <c r="BC30" s="211"/>
      <c r="BD30" s="110">
        <f t="shared" si="59"/>
        <v>540835.68462677253</v>
      </c>
      <c r="BE30" s="86">
        <f t="shared" si="60"/>
        <v>5753.9261425361619</v>
      </c>
      <c r="BF30" s="110">
        <f t="shared" si="61"/>
        <v>5408.3568462677249</v>
      </c>
      <c r="BG30" s="208">
        <f t="shared" si="62"/>
        <v>13520.892115669312</v>
      </c>
      <c r="BH30" s="115"/>
    </row>
    <row r="31" spans="2:60" x14ac:dyDescent="0.35">
      <c r="B31" s="210">
        <v>4</v>
      </c>
      <c r="C31" s="3" t="s">
        <v>45</v>
      </c>
      <c r="D31" s="307">
        <v>1.41</v>
      </c>
      <c r="E31" s="217">
        <v>0.99</v>
      </c>
      <c r="F31" s="277">
        <v>2</v>
      </c>
      <c r="G31" s="19">
        <f t="shared" si="32"/>
        <v>2.82</v>
      </c>
      <c r="H31" s="110">
        <f t="shared" si="63"/>
        <v>30598.281027633493</v>
      </c>
      <c r="I31" s="110">
        <f t="shared" si="33"/>
        <v>28200</v>
      </c>
      <c r="J31" s="208">
        <f t="shared" si="34"/>
        <v>90384.615384615376</v>
      </c>
      <c r="L31" s="3" t="s">
        <v>45</v>
      </c>
      <c r="M31" s="211"/>
      <c r="N31" s="110">
        <f t="shared" si="35"/>
        <v>140905.08413225226</v>
      </c>
      <c r="O31" s="86">
        <f t="shared" si="36"/>
        <v>1486.6708166629871</v>
      </c>
      <c r="P31" s="110">
        <f t="shared" si="37"/>
        <v>1409.0508413225225</v>
      </c>
      <c r="Q31" s="208">
        <f t="shared" si="38"/>
        <v>3522.6271033063063</v>
      </c>
      <c r="S31" s="3" t="s">
        <v>45</v>
      </c>
      <c r="T31" s="238"/>
      <c r="U31" s="110">
        <f t="shared" si="39"/>
        <v>28181.01682645045</v>
      </c>
      <c r="V31" s="86">
        <f t="shared" si="40"/>
        <v>297.33416333259737</v>
      </c>
      <c r="W31" s="110">
        <f t="shared" si="41"/>
        <v>281.81016826450445</v>
      </c>
      <c r="X31" s="208">
        <f t="shared" si="42"/>
        <v>704.52542066126114</v>
      </c>
      <c r="Z31" s="3" t="s">
        <v>45</v>
      </c>
      <c r="AA31" s="211"/>
      <c r="AB31" s="110">
        <f t="shared" si="43"/>
        <v>0</v>
      </c>
      <c r="AC31" s="86">
        <f t="shared" si="44"/>
        <v>0</v>
      </c>
      <c r="AD31" s="110">
        <f t="shared" si="45"/>
        <v>0</v>
      </c>
      <c r="AE31" s="208">
        <f t="shared" si="46"/>
        <v>0</v>
      </c>
      <c r="AG31" s="3" t="s">
        <v>45</v>
      </c>
      <c r="AH31" s="211"/>
      <c r="AI31" s="110">
        <f t="shared" si="47"/>
        <v>2818.101682645045</v>
      </c>
      <c r="AJ31" s="86">
        <f t="shared" si="48"/>
        <v>29.725778121644641</v>
      </c>
      <c r="AK31" s="110">
        <f t="shared" si="49"/>
        <v>28.181016826450449</v>
      </c>
      <c r="AL31" s="208">
        <f t="shared" si="50"/>
        <v>70.452542066126114</v>
      </c>
      <c r="AN31" s="3" t="s">
        <v>45</v>
      </c>
      <c r="AO31" s="211"/>
      <c r="AP31" s="110">
        <f t="shared" si="51"/>
        <v>14075.209272711407</v>
      </c>
      <c r="AQ31" s="86">
        <f t="shared" si="52"/>
        <v>148.48524904283988</v>
      </c>
      <c r="AR31" s="110">
        <f t="shared" si="53"/>
        <v>140.75209272711405</v>
      </c>
      <c r="AS31" s="208">
        <f t="shared" si="54"/>
        <v>351.8802318177851</v>
      </c>
      <c r="AU31" s="3" t="s">
        <v>45</v>
      </c>
      <c r="AV31" s="211"/>
      <c r="AW31" s="110">
        <f t="shared" si="55"/>
        <v>140905.08413225226</v>
      </c>
      <c r="AX31" s="86">
        <f t="shared" si="56"/>
        <v>1486.6708166629871</v>
      </c>
      <c r="AY31" s="110">
        <f t="shared" si="57"/>
        <v>1409.0508413225225</v>
      </c>
      <c r="AZ31" s="208">
        <f t="shared" si="58"/>
        <v>3522.6271033063063</v>
      </c>
      <c r="BB31" s="3" t="s">
        <v>45</v>
      </c>
      <c r="BC31" s="211"/>
      <c r="BD31" s="110">
        <f t="shared" si="59"/>
        <v>845430.50479351345</v>
      </c>
      <c r="BE31" s="86">
        <f t="shared" si="60"/>
        <v>8994.4965199290309</v>
      </c>
      <c r="BF31" s="110">
        <f t="shared" si="61"/>
        <v>8454.305047935135</v>
      </c>
      <c r="BG31" s="208">
        <f t="shared" si="62"/>
        <v>21135.762619837835</v>
      </c>
      <c r="BH31" s="115"/>
    </row>
    <row r="32" spans="2:60" x14ac:dyDescent="0.35">
      <c r="B32" s="210">
        <v>5</v>
      </c>
      <c r="C32" s="3" t="s">
        <v>5</v>
      </c>
      <c r="D32" s="307">
        <v>0.79200000000000004</v>
      </c>
      <c r="E32" s="217">
        <v>0.99</v>
      </c>
      <c r="F32" s="277">
        <v>2</v>
      </c>
      <c r="G32" s="19">
        <f t="shared" si="32"/>
        <v>1.5840000000000001</v>
      </c>
      <c r="H32" s="110">
        <f t="shared" si="63"/>
        <v>17187.119555947327</v>
      </c>
      <c r="I32" s="110">
        <f t="shared" si="33"/>
        <v>15840</v>
      </c>
      <c r="J32" s="208">
        <f t="shared" si="34"/>
        <v>50769.230769230766</v>
      </c>
      <c r="L32" s="3" t="s">
        <v>5</v>
      </c>
      <c r="M32" s="211"/>
      <c r="N32" s="110">
        <f t="shared" si="35"/>
        <v>79146.685555137446</v>
      </c>
      <c r="O32" s="86">
        <f t="shared" si="36"/>
        <v>835.06616084899701</v>
      </c>
      <c r="P32" s="110">
        <f t="shared" si="37"/>
        <v>791.46685555137446</v>
      </c>
      <c r="Q32" s="208">
        <f t="shared" si="38"/>
        <v>1978.6671388784362</v>
      </c>
      <c r="S32" s="3" t="s">
        <v>5</v>
      </c>
      <c r="T32" s="238"/>
      <c r="U32" s="110">
        <f t="shared" si="39"/>
        <v>15829.337111027489</v>
      </c>
      <c r="V32" s="86">
        <f t="shared" si="40"/>
        <v>167.01323216979941</v>
      </c>
      <c r="W32" s="110">
        <f t="shared" si="41"/>
        <v>158.2933711102749</v>
      </c>
      <c r="X32" s="208">
        <f t="shared" si="42"/>
        <v>395.73342777568723</v>
      </c>
      <c r="Z32" s="3" t="s">
        <v>5</v>
      </c>
      <c r="AA32" s="211"/>
      <c r="AB32" s="110">
        <f t="shared" si="43"/>
        <v>0</v>
      </c>
      <c r="AC32" s="86">
        <f t="shared" si="44"/>
        <v>0</v>
      </c>
      <c r="AD32" s="110">
        <f t="shared" si="45"/>
        <v>0</v>
      </c>
      <c r="AE32" s="208">
        <f t="shared" si="46"/>
        <v>0</v>
      </c>
      <c r="AG32" s="3" t="s">
        <v>5</v>
      </c>
      <c r="AH32" s="211"/>
      <c r="AI32" s="110">
        <f t="shared" si="47"/>
        <v>1582.9337111027492</v>
      </c>
      <c r="AJ32" s="86">
        <f t="shared" si="48"/>
        <v>16.69703281726423</v>
      </c>
      <c r="AK32" s="110">
        <f t="shared" si="49"/>
        <v>15.82933711102749</v>
      </c>
      <c r="AL32" s="208">
        <f t="shared" si="50"/>
        <v>39.573342777568726</v>
      </c>
      <c r="AN32" s="3" t="s">
        <v>5</v>
      </c>
      <c r="AO32" s="211"/>
      <c r="AP32" s="110">
        <f t="shared" si="51"/>
        <v>7906.0749957357712</v>
      </c>
      <c r="AQ32" s="86">
        <f t="shared" si="52"/>
        <v>83.404480313424983</v>
      </c>
      <c r="AR32" s="110">
        <f t="shared" si="53"/>
        <v>79.060749957357714</v>
      </c>
      <c r="AS32" s="208">
        <f t="shared" si="54"/>
        <v>197.65187489339428</v>
      </c>
      <c r="AU32" s="3" t="s">
        <v>5</v>
      </c>
      <c r="AV32" s="211"/>
      <c r="AW32" s="110">
        <f t="shared" si="55"/>
        <v>79146.685555137446</v>
      </c>
      <c r="AX32" s="86">
        <f t="shared" si="56"/>
        <v>835.06616084899701</v>
      </c>
      <c r="AY32" s="110">
        <f t="shared" si="57"/>
        <v>791.46685555137446</v>
      </c>
      <c r="AZ32" s="208">
        <f t="shared" si="58"/>
        <v>1978.6671388784362</v>
      </c>
      <c r="BB32" s="3" t="s">
        <v>5</v>
      </c>
      <c r="BC32" s="211"/>
      <c r="BD32" s="110">
        <f t="shared" si="59"/>
        <v>474880.11333082471</v>
      </c>
      <c r="BE32" s="86">
        <f t="shared" si="60"/>
        <v>5052.2278324707768</v>
      </c>
      <c r="BF32" s="110">
        <f t="shared" si="61"/>
        <v>4748.8011333082468</v>
      </c>
      <c r="BG32" s="208">
        <f t="shared" si="62"/>
        <v>11872.002833270617</v>
      </c>
      <c r="BH32" s="115"/>
    </row>
    <row r="33" spans="2:60" x14ac:dyDescent="0.35">
      <c r="B33" s="210">
        <v>6</v>
      </c>
      <c r="C33" s="3" t="s">
        <v>6</v>
      </c>
      <c r="D33" s="308">
        <v>0.78927000000000003</v>
      </c>
      <c r="E33" s="217">
        <v>0.99</v>
      </c>
      <c r="F33" s="277">
        <f>F42*0.4</f>
        <v>31.200000000000003</v>
      </c>
      <c r="G33" s="277">
        <f>D33*F33</f>
        <v>24.625224000000003</v>
      </c>
      <c r="H33" s="110">
        <f t="shared" si="63"/>
        <v>267194.86678029259</v>
      </c>
      <c r="I33" s="110">
        <f t="shared" si="33"/>
        <v>246252.24000000002</v>
      </c>
      <c r="J33" s="208">
        <f t="shared" si="34"/>
        <v>789270</v>
      </c>
      <c r="L33" s="3" t="s">
        <v>6</v>
      </c>
      <c r="M33" s="211"/>
      <c r="N33" s="110">
        <f>H33*N$41+M42*0.4*D33*1000*1000</f>
        <v>31222692.361523252</v>
      </c>
      <c r="O33" s="110">
        <f>N33/N$43</f>
        <v>329803.12136197631</v>
      </c>
      <c r="P33" s="110">
        <f>(N33/1000)/(M$43/1000)</f>
        <v>312226.92361523252</v>
      </c>
      <c r="Q33" s="208">
        <f t="shared" si="38"/>
        <v>780567.30903808121</v>
      </c>
      <c r="S33" s="3" t="s">
        <v>6</v>
      </c>
      <c r="T33" s="238"/>
      <c r="U33" s="110">
        <f>H33*U$41+T42*0.4*D33*1000*1000</f>
        <v>31257503.125370923</v>
      </c>
      <c r="V33" s="110">
        <f t="shared" si="40"/>
        <v>329793.76141335745</v>
      </c>
      <c r="W33" s="110">
        <f t="shared" si="41"/>
        <v>312575.03125370922</v>
      </c>
      <c r="X33" s="208">
        <f t="shared" si="42"/>
        <v>781437.57813427306</v>
      </c>
      <c r="Z33" s="3" t="s">
        <v>6</v>
      </c>
      <c r="AA33" s="211"/>
      <c r="AB33" s="110">
        <f>H33*AB$19+AA42*0.4*D33*1000*1000</f>
        <v>31570800.000000004</v>
      </c>
      <c r="AC33" s="110">
        <f t="shared" si="44"/>
        <v>333004.24023795966</v>
      </c>
      <c r="AD33" s="110">
        <f t="shared" si="45"/>
        <v>315708</v>
      </c>
      <c r="AE33" s="208">
        <f t="shared" si="46"/>
        <v>789270</v>
      </c>
      <c r="AG33" s="3" t="s">
        <v>6</v>
      </c>
      <c r="AH33" s="211"/>
      <c r="AI33" s="110">
        <f>H33*AI$41+AH42*0.4*D33*1000*1000</f>
        <v>31563837.847230475</v>
      </c>
      <c r="AJ33" s="110">
        <f>AI33/AI$43</f>
        <v>332940.30740356422</v>
      </c>
      <c r="AK33" s="110">
        <f t="shared" si="49"/>
        <v>315638.37847230473</v>
      </c>
      <c r="AL33" s="208">
        <f t="shared" si="50"/>
        <v>789095.94618076179</v>
      </c>
      <c r="AN33" s="3" t="s">
        <v>6</v>
      </c>
      <c r="AO33" s="211"/>
      <c r="AP33" s="110">
        <f>H33*AP$41+AO42*0.4*D33*1000*1000</f>
        <v>31535855.638718937</v>
      </c>
      <c r="AQ33" s="110">
        <f>AP33/AP$43</f>
        <v>332684.88500364468</v>
      </c>
      <c r="AR33" s="110">
        <f t="shared" si="53"/>
        <v>315358.55638718937</v>
      </c>
      <c r="AS33" s="208">
        <f t="shared" si="54"/>
        <v>788396.39096797339</v>
      </c>
      <c r="AU33" s="3" t="s">
        <v>6</v>
      </c>
      <c r="AV33" s="211"/>
      <c r="AW33" s="110">
        <f>H33*AW$41+AV42*0.4*D33*1000*1000</f>
        <v>31222692.361523252</v>
      </c>
      <c r="AX33" s="110">
        <f>AW33/AW$43</f>
        <v>329803.12136197631</v>
      </c>
      <c r="AY33" s="110">
        <f t="shared" si="57"/>
        <v>312226.92361523252</v>
      </c>
      <c r="AZ33" s="208">
        <f t="shared" si="58"/>
        <v>780567.30903808121</v>
      </c>
      <c r="BB33" s="3" t="s">
        <v>6</v>
      </c>
      <c r="BC33" s="211"/>
      <c r="BD33" s="110">
        <f>H33*BD$41+BC42*0.4*D33*1000*1000</f>
        <v>29482154.169139486</v>
      </c>
      <c r="BE33" s="110">
        <f t="shared" si="60"/>
        <v>313659.29141520947</v>
      </c>
      <c r="BF33" s="110">
        <f t="shared" si="61"/>
        <v>294821.54169139481</v>
      </c>
      <c r="BG33" s="208">
        <f t="shared" si="62"/>
        <v>737053.85422848701</v>
      </c>
      <c r="BH33" s="115"/>
    </row>
    <row r="34" spans="2:60" x14ac:dyDescent="0.35">
      <c r="B34" s="210">
        <v>7</v>
      </c>
      <c r="C34" s="3" t="s">
        <v>14</v>
      </c>
      <c r="D34" s="307">
        <v>0.80800000000000005</v>
      </c>
      <c r="E34" s="217">
        <v>0.99</v>
      </c>
      <c r="F34" s="277">
        <v>2</v>
      </c>
      <c r="G34" s="19">
        <f t="shared" ref="G34:G36" si="64">D34*F34</f>
        <v>1.6160000000000001</v>
      </c>
      <c r="H34" s="110">
        <f t="shared" si="63"/>
        <v>17534.334092431109</v>
      </c>
      <c r="I34" s="110">
        <f t="shared" si="33"/>
        <v>16160</v>
      </c>
      <c r="J34" s="208">
        <f t="shared" si="34"/>
        <v>51794.871794871797</v>
      </c>
      <c r="L34" s="3" t="s">
        <v>14</v>
      </c>
      <c r="M34" s="211"/>
      <c r="N34" s="110">
        <f t="shared" si="35"/>
        <v>80745.608495645269</v>
      </c>
      <c r="O34" s="86">
        <f t="shared" si="36"/>
        <v>851.93618430049185</v>
      </c>
      <c r="P34" s="110">
        <f t="shared" si="37"/>
        <v>807.45608495645263</v>
      </c>
      <c r="Q34" s="208">
        <f t="shared" si="38"/>
        <v>2018.6402123911314</v>
      </c>
      <c r="S34" s="3" t="s">
        <v>14</v>
      </c>
      <c r="T34" s="238"/>
      <c r="U34" s="110">
        <f t="shared" ref="U34:U40" si="65">H34*U$19</f>
        <v>16149.121699129051</v>
      </c>
      <c r="V34" s="86">
        <f t="shared" si="40"/>
        <v>170.38723686009834</v>
      </c>
      <c r="W34" s="110">
        <f t="shared" si="41"/>
        <v>161.49121699129049</v>
      </c>
      <c r="X34" s="208">
        <f t="shared" si="42"/>
        <v>403.7280424782262</v>
      </c>
      <c r="Z34" s="3" t="s">
        <v>14</v>
      </c>
      <c r="AA34" s="211"/>
      <c r="AB34" s="110">
        <f t="shared" ref="AB34:AB40" si="66">H34*AB$19</f>
        <v>0</v>
      </c>
      <c r="AC34" s="86">
        <f t="shared" si="44"/>
        <v>0</v>
      </c>
      <c r="AD34" s="110">
        <f t="shared" si="45"/>
        <v>0</v>
      </c>
      <c r="AE34" s="208">
        <f t="shared" si="46"/>
        <v>0</v>
      </c>
      <c r="AG34" s="3" t="s">
        <v>14</v>
      </c>
      <c r="AH34" s="211"/>
      <c r="AI34" s="110">
        <f t="shared" si="47"/>
        <v>1614.9121699129055</v>
      </c>
      <c r="AJ34" s="86">
        <f t="shared" si="48"/>
        <v>17.034346611552394</v>
      </c>
      <c r="AK34" s="110">
        <f t="shared" si="49"/>
        <v>16.149121699129054</v>
      </c>
      <c r="AL34" s="208">
        <f t="shared" si="50"/>
        <v>40.372804247822636</v>
      </c>
      <c r="AN34" s="3" t="s">
        <v>14</v>
      </c>
      <c r="AO34" s="211"/>
      <c r="AP34" s="110">
        <f t="shared" si="51"/>
        <v>8065.7936825183106</v>
      </c>
      <c r="AQ34" s="86">
        <f t="shared" si="52"/>
        <v>85.089419309655781</v>
      </c>
      <c r="AR34" s="110">
        <f t="shared" si="53"/>
        <v>80.657936825183114</v>
      </c>
      <c r="AS34" s="208">
        <f t="shared" si="54"/>
        <v>201.64484206295776</v>
      </c>
      <c r="AU34" s="3" t="s">
        <v>14</v>
      </c>
      <c r="AV34" s="211"/>
      <c r="AW34" s="110">
        <f t="shared" si="55"/>
        <v>80745.608495645269</v>
      </c>
      <c r="AX34" s="86">
        <f t="shared" si="56"/>
        <v>851.93618430049185</v>
      </c>
      <c r="AY34" s="110">
        <f t="shared" si="57"/>
        <v>807.45608495645263</v>
      </c>
      <c r="AZ34" s="208">
        <f t="shared" si="58"/>
        <v>2018.6402123911314</v>
      </c>
      <c r="BB34" s="3" t="s">
        <v>14</v>
      </c>
      <c r="BC34" s="211"/>
      <c r="BD34" s="110">
        <f t="shared" si="59"/>
        <v>484473.65097387158</v>
      </c>
      <c r="BE34" s="86">
        <f t="shared" si="60"/>
        <v>5154.2930412075593</v>
      </c>
      <c r="BF34" s="110">
        <f t="shared" si="61"/>
        <v>4844.7365097387155</v>
      </c>
      <c r="BG34" s="208">
        <f t="shared" si="62"/>
        <v>12111.841274346789</v>
      </c>
      <c r="BH34" s="115"/>
    </row>
    <row r="35" spans="2:60" ht="15.5" customHeight="1" x14ac:dyDescent="0.35">
      <c r="B35" s="210">
        <v>8</v>
      </c>
      <c r="C35" s="3" t="s">
        <v>15</v>
      </c>
      <c r="D35" s="307">
        <v>0.80300000000000005</v>
      </c>
      <c r="E35" s="217">
        <v>0.99</v>
      </c>
      <c r="F35" s="277">
        <v>2</v>
      </c>
      <c r="G35" s="19">
        <f t="shared" si="64"/>
        <v>1.6060000000000001</v>
      </c>
      <c r="H35" s="110">
        <f t="shared" si="63"/>
        <v>17425.82954977993</v>
      </c>
      <c r="I35" s="110">
        <f t="shared" si="33"/>
        <v>16060</v>
      </c>
      <c r="J35" s="208">
        <f t="shared" si="34"/>
        <v>51474.358974358969</v>
      </c>
      <c r="L35" s="3" t="s">
        <v>15</v>
      </c>
      <c r="M35" s="211"/>
      <c r="N35" s="110">
        <f t="shared" si="35"/>
        <v>80245.945076736578</v>
      </c>
      <c r="O35" s="86">
        <f t="shared" si="36"/>
        <v>846.66430197189982</v>
      </c>
      <c r="P35" s="110">
        <f t="shared" si="37"/>
        <v>802.45945076736575</v>
      </c>
      <c r="Q35" s="208">
        <f t="shared" si="38"/>
        <v>2006.1486269184143</v>
      </c>
      <c r="S35" s="3" t="s">
        <v>15</v>
      </c>
      <c r="T35" s="238"/>
      <c r="U35" s="110">
        <f t="shared" si="65"/>
        <v>16049.189015347316</v>
      </c>
      <c r="V35" s="86">
        <f t="shared" si="40"/>
        <v>169.33286039437996</v>
      </c>
      <c r="W35" s="110">
        <f t="shared" si="41"/>
        <v>160.49189015347315</v>
      </c>
      <c r="X35" s="208">
        <f t="shared" si="42"/>
        <v>401.22972538368288</v>
      </c>
      <c r="Z35" s="3" t="s">
        <v>15</v>
      </c>
      <c r="AA35" s="211"/>
      <c r="AB35" s="110">
        <f t="shared" si="66"/>
        <v>0</v>
      </c>
      <c r="AC35" s="86">
        <f t="shared" si="44"/>
        <v>0</v>
      </c>
      <c r="AD35" s="110">
        <f t="shared" si="45"/>
        <v>0</v>
      </c>
      <c r="AE35" s="208">
        <f t="shared" si="46"/>
        <v>0</v>
      </c>
      <c r="AG35" s="3" t="s">
        <v>15</v>
      </c>
      <c r="AH35" s="211"/>
      <c r="AI35" s="110">
        <f t="shared" si="47"/>
        <v>1604.9189015347317</v>
      </c>
      <c r="AJ35" s="86">
        <f t="shared" si="48"/>
        <v>16.928936050837343</v>
      </c>
      <c r="AK35" s="110">
        <f t="shared" si="49"/>
        <v>16.049189015347316</v>
      </c>
      <c r="AL35" s="208">
        <f t="shared" si="50"/>
        <v>40.122972538368288</v>
      </c>
      <c r="AN35" s="3" t="s">
        <v>15</v>
      </c>
      <c r="AO35" s="211"/>
      <c r="AP35" s="110">
        <f t="shared" si="51"/>
        <v>8015.8815928987678</v>
      </c>
      <c r="AQ35" s="86">
        <f t="shared" si="52"/>
        <v>84.562875873333667</v>
      </c>
      <c r="AR35" s="110">
        <f t="shared" si="53"/>
        <v>80.158815928987678</v>
      </c>
      <c r="AS35" s="208">
        <f t="shared" si="54"/>
        <v>200.3970398224692</v>
      </c>
      <c r="AU35" s="3" t="s">
        <v>15</v>
      </c>
      <c r="AV35" s="211"/>
      <c r="AW35" s="110">
        <f t="shared" si="55"/>
        <v>80245.945076736578</v>
      </c>
      <c r="AX35" s="86">
        <f t="shared" si="56"/>
        <v>846.66430197189982</v>
      </c>
      <c r="AY35" s="110">
        <f t="shared" si="57"/>
        <v>802.45945076736575</v>
      </c>
      <c r="AZ35" s="208">
        <f t="shared" si="58"/>
        <v>2006.1486269184143</v>
      </c>
      <c r="BB35" s="3" t="s">
        <v>15</v>
      </c>
      <c r="BC35" s="211"/>
      <c r="BD35" s="110">
        <f t="shared" si="59"/>
        <v>481475.6704604195</v>
      </c>
      <c r="BE35" s="86">
        <f t="shared" si="60"/>
        <v>5122.3976634773153</v>
      </c>
      <c r="BF35" s="110">
        <f t="shared" si="61"/>
        <v>4814.756704604195</v>
      </c>
      <c r="BG35" s="208">
        <f t="shared" si="62"/>
        <v>12036.891761510487</v>
      </c>
      <c r="BH35" s="115"/>
    </row>
    <row r="36" spans="2:60" ht="16" customHeight="1" x14ac:dyDescent="0.35">
      <c r="B36" s="210">
        <v>9</v>
      </c>
      <c r="C36" s="3" t="s">
        <v>1</v>
      </c>
      <c r="D36" s="221">
        <v>0.80200000000000005</v>
      </c>
      <c r="E36" s="217">
        <v>0.99</v>
      </c>
      <c r="F36" s="277">
        <v>2</v>
      </c>
      <c r="G36" s="19">
        <f t="shared" si="64"/>
        <v>1.6040000000000001</v>
      </c>
      <c r="H36" s="110">
        <f t="shared" si="63"/>
        <v>17404.128641249692</v>
      </c>
      <c r="I36" s="110">
        <f t="shared" si="33"/>
        <v>16040</v>
      </c>
      <c r="J36" s="208">
        <f t="shared" si="34"/>
        <v>51410.256410256407</v>
      </c>
      <c r="L36" s="3" t="s">
        <v>1</v>
      </c>
      <c r="M36" s="211"/>
      <c r="N36" s="110">
        <f t="shared" si="35"/>
        <v>80146.012392954843</v>
      </c>
      <c r="O36" s="86">
        <f t="shared" si="36"/>
        <v>845.60992550618141</v>
      </c>
      <c r="P36" s="110">
        <f t="shared" si="37"/>
        <v>801.46012392954844</v>
      </c>
      <c r="Q36" s="208">
        <f t="shared" si="38"/>
        <v>2003.6503098238711</v>
      </c>
      <c r="S36" s="3" t="s">
        <v>1</v>
      </c>
      <c r="T36" s="238"/>
      <c r="U36" s="110">
        <f t="shared" si="65"/>
        <v>16029.202478590967</v>
      </c>
      <c r="V36" s="86">
        <f t="shared" si="40"/>
        <v>169.12198510123628</v>
      </c>
      <c r="W36" s="110">
        <f t="shared" si="41"/>
        <v>160.29202478590966</v>
      </c>
      <c r="X36" s="208">
        <f t="shared" si="42"/>
        <v>400.73006196477411</v>
      </c>
      <c r="Z36" s="3" t="s">
        <v>1</v>
      </c>
      <c r="AA36" s="211"/>
      <c r="AB36" s="110">
        <f t="shared" si="66"/>
        <v>0</v>
      </c>
      <c r="AC36" s="86">
        <f t="shared" si="44"/>
        <v>0</v>
      </c>
      <c r="AD36" s="110">
        <f t="shared" si="45"/>
        <v>0</v>
      </c>
      <c r="AE36" s="208">
        <f t="shared" si="46"/>
        <v>0</v>
      </c>
      <c r="AG36" s="3" t="s">
        <v>1</v>
      </c>
      <c r="AH36" s="211"/>
      <c r="AI36" s="110">
        <f t="shared" si="47"/>
        <v>1602.9202478590969</v>
      </c>
      <c r="AJ36" s="86">
        <f t="shared" si="48"/>
        <v>16.907853938694331</v>
      </c>
      <c r="AK36" s="110">
        <f t="shared" si="49"/>
        <v>16.029202478590967</v>
      </c>
      <c r="AL36" s="208">
        <f t="shared" si="50"/>
        <v>40.073006196477415</v>
      </c>
      <c r="AN36" s="3" t="s">
        <v>1</v>
      </c>
      <c r="AO36" s="211"/>
      <c r="AP36" s="110">
        <f t="shared" si="51"/>
        <v>8005.8991749748584</v>
      </c>
      <c r="AQ36" s="86">
        <f t="shared" si="52"/>
        <v>84.457567186069227</v>
      </c>
      <c r="AR36" s="110">
        <f t="shared" si="53"/>
        <v>80.058991749748586</v>
      </c>
      <c r="AS36" s="208">
        <f t="shared" si="54"/>
        <v>200.14747937437144</v>
      </c>
      <c r="AU36" s="3" t="s">
        <v>1</v>
      </c>
      <c r="AV36" s="211"/>
      <c r="AW36" s="110">
        <f t="shared" si="55"/>
        <v>80146.012392954843</v>
      </c>
      <c r="AX36" s="86">
        <f t="shared" si="56"/>
        <v>845.60992550618141</v>
      </c>
      <c r="AY36" s="110">
        <f t="shared" si="57"/>
        <v>801.46012392954844</v>
      </c>
      <c r="AZ36" s="208">
        <f t="shared" si="58"/>
        <v>2003.6503098238711</v>
      </c>
      <c r="BB36" s="3" t="s">
        <v>1</v>
      </c>
      <c r="BC36" s="211"/>
      <c r="BD36" s="110">
        <f t="shared" si="59"/>
        <v>480876.07435772906</v>
      </c>
      <c r="BE36" s="86">
        <f t="shared" si="60"/>
        <v>5116.0185879312667</v>
      </c>
      <c r="BF36" s="110">
        <f t="shared" si="61"/>
        <v>4808.7607435772907</v>
      </c>
      <c r="BG36" s="208">
        <f t="shared" si="62"/>
        <v>12021.901858943225</v>
      </c>
      <c r="BH36" s="115"/>
    </row>
    <row r="37" spans="2:60" x14ac:dyDescent="0.35">
      <c r="B37" s="210">
        <v>10</v>
      </c>
      <c r="C37" s="2" t="s">
        <v>96</v>
      </c>
      <c r="D37" s="16">
        <v>0.82</v>
      </c>
      <c r="E37" s="217">
        <v>0.99</v>
      </c>
      <c r="F37" s="277">
        <v>0</v>
      </c>
      <c r="G37" s="19">
        <v>0</v>
      </c>
      <c r="H37" s="110">
        <f t="shared" si="63"/>
        <v>0</v>
      </c>
      <c r="I37" s="110">
        <f t="shared" si="33"/>
        <v>0</v>
      </c>
      <c r="J37" s="208">
        <f t="shared" si="34"/>
        <v>0</v>
      </c>
      <c r="L37" s="2" t="s">
        <v>96</v>
      </c>
      <c r="M37" s="211"/>
      <c r="N37" s="110">
        <f t="shared" si="35"/>
        <v>0</v>
      </c>
      <c r="O37" s="86">
        <f t="shared" si="36"/>
        <v>0</v>
      </c>
      <c r="P37" s="110">
        <f t="shared" si="37"/>
        <v>0</v>
      </c>
      <c r="Q37" s="208">
        <f t="shared" si="38"/>
        <v>0</v>
      </c>
      <c r="S37" s="2" t="s">
        <v>96</v>
      </c>
      <c r="T37" s="238"/>
      <c r="U37" s="110">
        <f t="shared" si="65"/>
        <v>0</v>
      </c>
      <c r="V37" s="86">
        <f t="shared" si="40"/>
        <v>0</v>
      </c>
      <c r="W37" s="110">
        <f t="shared" si="41"/>
        <v>0</v>
      </c>
      <c r="X37" s="208">
        <f t="shared" si="42"/>
        <v>0</v>
      </c>
      <c r="Z37" s="2" t="s">
        <v>96</v>
      </c>
      <c r="AA37" s="211"/>
      <c r="AB37" s="110">
        <f t="shared" si="66"/>
        <v>0</v>
      </c>
      <c r="AC37" s="86">
        <f t="shared" si="44"/>
        <v>0</v>
      </c>
      <c r="AD37" s="110">
        <f t="shared" si="45"/>
        <v>0</v>
      </c>
      <c r="AE37" s="208">
        <f t="shared" si="46"/>
        <v>0</v>
      </c>
      <c r="AG37" s="2" t="s">
        <v>96</v>
      </c>
      <c r="AH37" s="211"/>
      <c r="AI37" s="110">
        <f t="shared" si="47"/>
        <v>0</v>
      </c>
      <c r="AJ37" s="86">
        <f t="shared" si="48"/>
        <v>0</v>
      </c>
      <c r="AK37" s="110">
        <f t="shared" si="49"/>
        <v>0</v>
      </c>
      <c r="AL37" s="208">
        <f t="shared" si="50"/>
        <v>0</v>
      </c>
      <c r="AN37" s="2" t="s">
        <v>96</v>
      </c>
      <c r="AO37" s="211"/>
      <c r="AP37" s="110">
        <f t="shared" si="51"/>
        <v>0</v>
      </c>
      <c r="AQ37" s="86">
        <f t="shared" si="52"/>
        <v>0</v>
      </c>
      <c r="AR37" s="110">
        <f t="shared" si="53"/>
        <v>0</v>
      </c>
      <c r="AS37" s="208">
        <f t="shared" si="54"/>
        <v>0</v>
      </c>
      <c r="AU37" s="2" t="s">
        <v>96</v>
      </c>
      <c r="AV37" s="211"/>
      <c r="AW37" s="110">
        <f t="shared" si="55"/>
        <v>0</v>
      </c>
      <c r="AX37" s="86">
        <f t="shared" si="56"/>
        <v>0</v>
      </c>
      <c r="AY37" s="110">
        <f t="shared" si="57"/>
        <v>0</v>
      </c>
      <c r="AZ37" s="208">
        <f t="shared" si="58"/>
        <v>0</v>
      </c>
      <c r="BB37" s="2" t="s">
        <v>96</v>
      </c>
      <c r="BC37" s="211"/>
      <c r="BD37" s="110">
        <f t="shared" si="59"/>
        <v>0</v>
      </c>
      <c r="BE37" s="86">
        <f t="shared" si="60"/>
        <v>0</v>
      </c>
      <c r="BF37" s="110">
        <f t="shared" si="61"/>
        <v>0</v>
      </c>
      <c r="BG37" s="208">
        <f t="shared" si="62"/>
        <v>0</v>
      </c>
      <c r="BH37" s="115"/>
    </row>
    <row r="38" spans="2:60" x14ac:dyDescent="0.35">
      <c r="B38" s="210">
        <v>11</v>
      </c>
      <c r="C38" s="3" t="s">
        <v>16</v>
      </c>
      <c r="D38" s="221">
        <v>0.80900000000000005</v>
      </c>
      <c r="E38" s="217">
        <v>0.99</v>
      </c>
      <c r="F38" s="277">
        <v>2</v>
      </c>
      <c r="G38" s="19">
        <f t="shared" ref="G38:G40" si="67">D38*F38</f>
        <v>1.6180000000000001</v>
      </c>
      <c r="H38" s="110">
        <f t="shared" si="63"/>
        <v>17556.035000961347</v>
      </c>
      <c r="I38" s="110">
        <f t="shared" si="33"/>
        <v>16180</v>
      </c>
      <c r="J38" s="208">
        <f t="shared" si="34"/>
        <v>51858.974358974359</v>
      </c>
      <c r="L38" s="3" t="s">
        <v>16</v>
      </c>
      <c r="M38" s="211"/>
      <c r="N38" s="110">
        <f t="shared" si="35"/>
        <v>80845.541179427004</v>
      </c>
      <c r="O38" s="86">
        <f t="shared" si="36"/>
        <v>852.99056076621025</v>
      </c>
      <c r="P38" s="110">
        <f t="shared" si="37"/>
        <v>808.45541179426993</v>
      </c>
      <c r="Q38" s="208">
        <f t="shared" si="38"/>
        <v>2021.1385294856748</v>
      </c>
      <c r="S38" s="3" t="s">
        <v>16</v>
      </c>
      <c r="T38" s="238"/>
      <c r="U38" s="110">
        <f t="shared" si="65"/>
        <v>16169.108235885402</v>
      </c>
      <c r="V38" s="86">
        <f t="shared" si="40"/>
        <v>170.59811215324206</v>
      </c>
      <c r="W38" s="110">
        <f t="shared" si="41"/>
        <v>161.69108235885403</v>
      </c>
      <c r="X38" s="208">
        <f t="shared" si="42"/>
        <v>404.22770589713508</v>
      </c>
      <c r="Z38" s="3" t="s">
        <v>16</v>
      </c>
      <c r="AA38" s="211"/>
      <c r="AB38" s="110">
        <f t="shared" si="66"/>
        <v>0</v>
      </c>
      <c r="AC38" s="86">
        <f t="shared" si="44"/>
        <v>0</v>
      </c>
      <c r="AD38" s="110">
        <f t="shared" si="45"/>
        <v>0</v>
      </c>
      <c r="AE38" s="208">
        <f t="shared" si="46"/>
        <v>0</v>
      </c>
      <c r="AG38" s="3" t="s">
        <v>16</v>
      </c>
      <c r="AH38" s="211"/>
      <c r="AI38" s="110">
        <f t="shared" si="47"/>
        <v>1616.9108235885403</v>
      </c>
      <c r="AJ38" s="86">
        <f t="shared" si="48"/>
        <v>17.055428723695403</v>
      </c>
      <c r="AK38" s="110">
        <f t="shared" si="49"/>
        <v>16.169108235885403</v>
      </c>
      <c r="AL38" s="208">
        <f t="shared" si="50"/>
        <v>40.422770589713508</v>
      </c>
      <c r="AN38" s="3" t="s">
        <v>16</v>
      </c>
      <c r="AO38" s="211"/>
      <c r="AP38" s="110">
        <f t="shared" si="51"/>
        <v>8075.77610044222</v>
      </c>
      <c r="AQ38" s="86">
        <f t="shared" si="52"/>
        <v>85.194727996920207</v>
      </c>
      <c r="AR38" s="110">
        <f t="shared" si="53"/>
        <v>80.757761004422193</v>
      </c>
      <c r="AS38" s="208">
        <f t="shared" si="54"/>
        <v>201.89440251105546</v>
      </c>
      <c r="AU38" s="3" t="s">
        <v>16</v>
      </c>
      <c r="AV38" s="211"/>
      <c r="AW38" s="110">
        <f t="shared" si="55"/>
        <v>80845.541179427004</v>
      </c>
      <c r="AX38" s="86">
        <f t="shared" si="56"/>
        <v>852.99056076621025</v>
      </c>
      <c r="AY38" s="110">
        <f t="shared" si="57"/>
        <v>808.45541179426993</v>
      </c>
      <c r="AZ38" s="208">
        <f t="shared" si="58"/>
        <v>2021.1385294856748</v>
      </c>
      <c r="BB38" s="3" t="s">
        <v>16</v>
      </c>
      <c r="BC38" s="211"/>
      <c r="BD38" s="110">
        <f t="shared" si="59"/>
        <v>485073.24707656208</v>
      </c>
      <c r="BE38" s="86">
        <f t="shared" si="60"/>
        <v>5160.6721167536089</v>
      </c>
      <c r="BF38" s="110">
        <f t="shared" si="61"/>
        <v>4850.7324707656207</v>
      </c>
      <c r="BG38" s="208">
        <f t="shared" si="62"/>
        <v>12126.831176914051</v>
      </c>
      <c r="BH38" s="115"/>
    </row>
    <row r="39" spans="2:60" ht="16" customHeight="1" x14ac:dyDescent="0.35">
      <c r="B39" s="210">
        <v>12</v>
      </c>
      <c r="C39" s="3" t="s">
        <v>17</v>
      </c>
      <c r="D39" s="221">
        <v>0.81899999999999995</v>
      </c>
      <c r="E39" s="217">
        <v>0.99</v>
      </c>
      <c r="F39" s="277">
        <v>2</v>
      </c>
      <c r="G39" s="19">
        <f t="shared" si="67"/>
        <v>1.6379999999999999</v>
      </c>
      <c r="H39" s="110">
        <f t="shared" si="63"/>
        <v>17773.044086263712</v>
      </c>
      <c r="I39" s="110">
        <f t="shared" si="33"/>
        <v>16380</v>
      </c>
      <c r="J39" s="208">
        <f t="shared" si="34"/>
        <v>52500</v>
      </c>
      <c r="L39" s="3" t="s">
        <v>17</v>
      </c>
      <c r="M39" s="211"/>
      <c r="N39" s="110">
        <f t="shared" si="35"/>
        <v>81844.8680172444</v>
      </c>
      <c r="O39" s="86">
        <f t="shared" si="36"/>
        <v>863.53432542339465</v>
      </c>
      <c r="P39" s="110">
        <f t="shared" si="37"/>
        <v>818.44868017244391</v>
      </c>
      <c r="Q39" s="208">
        <f t="shared" si="38"/>
        <v>2046.1217004311097</v>
      </c>
      <c r="S39" s="3" t="s">
        <v>17</v>
      </c>
      <c r="T39" s="238"/>
      <c r="U39" s="110">
        <f t="shared" si="65"/>
        <v>16368.97360344888</v>
      </c>
      <c r="V39" s="86">
        <f t="shared" si="40"/>
        <v>172.70686508467892</v>
      </c>
      <c r="W39" s="110">
        <f t="shared" si="41"/>
        <v>163.68973603448879</v>
      </c>
      <c r="X39" s="208">
        <f t="shared" si="42"/>
        <v>409.22434008622196</v>
      </c>
      <c r="Z39" s="3" t="s">
        <v>17</v>
      </c>
      <c r="AA39" s="211"/>
      <c r="AB39" s="110">
        <f t="shared" si="66"/>
        <v>0</v>
      </c>
      <c r="AC39" s="86">
        <f t="shared" si="44"/>
        <v>0</v>
      </c>
      <c r="AD39" s="110">
        <f t="shared" si="45"/>
        <v>0</v>
      </c>
      <c r="AE39" s="208">
        <f t="shared" si="46"/>
        <v>0</v>
      </c>
      <c r="AG39" s="3" t="s">
        <v>17</v>
      </c>
      <c r="AH39" s="211"/>
      <c r="AI39" s="110">
        <f t="shared" si="47"/>
        <v>1636.8973603448881</v>
      </c>
      <c r="AJ39" s="86">
        <f t="shared" si="48"/>
        <v>17.266249845125508</v>
      </c>
      <c r="AK39" s="110">
        <f t="shared" si="49"/>
        <v>16.368973603448879</v>
      </c>
      <c r="AL39" s="208">
        <f t="shared" si="50"/>
        <v>40.922434008622197</v>
      </c>
      <c r="AN39" s="3" t="s">
        <v>17</v>
      </c>
      <c r="AO39" s="211"/>
      <c r="AP39" s="110">
        <f t="shared" si="51"/>
        <v>8175.6002796813073</v>
      </c>
      <c r="AQ39" s="86">
        <f t="shared" si="52"/>
        <v>86.247814869564451</v>
      </c>
      <c r="AR39" s="110">
        <f t="shared" si="53"/>
        <v>81.756002796813064</v>
      </c>
      <c r="AS39" s="208">
        <f t="shared" si="54"/>
        <v>204.39000699203265</v>
      </c>
      <c r="AU39" s="3" t="s">
        <v>17</v>
      </c>
      <c r="AV39" s="211"/>
      <c r="AW39" s="110">
        <f t="shared" si="55"/>
        <v>81844.8680172444</v>
      </c>
      <c r="AX39" s="86">
        <f t="shared" si="56"/>
        <v>863.53432542339465</v>
      </c>
      <c r="AY39" s="110">
        <f t="shared" si="57"/>
        <v>818.44868017244391</v>
      </c>
      <c r="AZ39" s="208">
        <f t="shared" si="58"/>
        <v>2046.1217004311097</v>
      </c>
      <c r="BB39" s="3" t="s">
        <v>17</v>
      </c>
      <c r="BC39" s="211"/>
      <c r="BD39" s="110">
        <f t="shared" si="59"/>
        <v>491069.20810346637</v>
      </c>
      <c r="BE39" s="86">
        <f t="shared" si="60"/>
        <v>5224.4628722140978</v>
      </c>
      <c r="BF39" s="110">
        <f t="shared" si="61"/>
        <v>4910.6920810346637</v>
      </c>
      <c r="BG39" s="208">
        <f t="shared" si="62"/>
        <v>12276.730202586659</v>
      </c>
      <c r="BH39" s="115"/>
    </row>
    <row r="40" spans="2:60" ht="13" customHeight="1" x14ac:dyDescent="0.35">
      <c r="B40" s="210">
        <v>13</v>
      </c>
      <c r="C40" s="4" t="s">
        <v>18</v>
      </c>
      <c r="D40" s="309">
        <v>0.81040000000000001</v>
      </c>
      <c r="E40" s="270">
        <v>0.99</v>
      </c>
      <c r="F40" s="284">
        <v>2</v>
      </c>
      <c r="G40" s="273">
        <f t="shared" si="67"/>
        <v>1.6208</v>
      </c>
      <c r="H40" s="286">
        <f t="shared" si="63"/>
        <v>17586.41627290368</v>
      </c>
      <c r="I40" s="286">
        <f t="shared" si="33"/>
        <v>16207.999999999998</v>
      </c>
      <c r="J40" s="287">
        <f t="shared" si="34"/>
        <v>51948.717948717938</v>
      </c>
      <c r="L40" s="3" t="s">
        <v>18</v>
      </c>
      <c r="M40" s="301"/>
      <c r="N40" s="286">
        <f t="shared" si="35"/>
        <v>80985.446936721448</v>
      </c>
      <c r="O40" s="302">
        <f t="shared" si="36"/>
        <v>854.4666878182162</v>
      </c>
      <c r="P40" s="286">
        <f t="shared" si="37"/>
        <v>809.85446936721439</v>
      </c>
      <c r="Q40" s="287">
        <f t="shared" si="38"/>
        <v>2024.6361734180359</v>
      </c>
      <c r="S40" s="3" t="s">
        <v>18</v>
      </c>
      <c r="T40" s="238"/>
      <c r="U40" s="110">
        <f t="shared" si="65"/>
        <v>16197.089387344289</v>
      </c>
      <c r="V40" s="86">
        <f t="shared" si="40"/>
        <v>170.89333756364323</v>
      </c>
      <c r="W40" s="110">
        <f t="shared" si="41"/>
        <v>161.97089387344286</v>
      </c>
      <c r="X40" s="208">
        <f t="shared" si="42"/>
        <v>404.92723468360714</v>
      </c>
      <c r="Z40" s="3" t="s">
        <v>18</v>
      </c>
      <c r="AA40" s="301"/>
      <c r="AB40" s="286">
        <f t="shared" si="66"/>
        <v>0</v>
      </c>
      <c r="AC40" s="302">
        <f t="shared" si="44"/>
        <v>0</v>
      </c>
      <c r="AD40" s="286">
        <f t="shared" si="45"/>
        <v>0</v>
      </c>
      <c r="AE40" s="287">
        <f t="shared" si="46"/>
        <v>0</v>
      </c>
      <c r="AG40" s="3" t="s">
        <v>18</v>
      </c>
      <c r="AH40" s="301"/>
      <c r="AI40" s="110">
        <f t="shared" si="47"/>
        <v>1619.7089387344292</v>
      </c>
      <c r="AJ40" s="302">
        <f t="shared" si="48"/>
        <v>17.08494368069562</v>
      </c>
      <c r="AK40" s="286">
        <f t="shared" si="49"/>
        <v>16.197089387344292</v>
      </c>
      <c r="AL40" s="287">
        <f t="shared" si="50"/>
        <v>40.49272346836073</v>
      </c>
      <c r="AN40" s="3" t="s">
        <v>18</v>
      </c>
      <c r="AO40" s="301"/>
      <c r="AP40" s="286">
        <f t="shared" si="51"/>
        <v>8089.7514855356931</v>
      </c>
      <c r="AQ40" s="302">
        <f t="shared" si="52"/>
        <v>85.342160159090412</v>
      </c>
      <c r="AR40" s="286">
        <f t="shared" si="53"/>
        <v>80.897514855356931</v>
      </c>
      <c r="AS40" s="287">
        <f t="shared" si="54"/>
        <v>202.24378713839232</v>
      </c>
      <c r="AU40" s="3" t="s">
        <v>18</v>
      </c>
      <c r="AV40" s="301"/>
      <c r="AW40" s="110">
        <f t="shared" si="55"/>
        <v>80985.446936721448</v>
      </c>
      <c r="AX40" s="302">
        <f t="shared" si="56"/>
        <v>854.4666878182162</v>
      </c>
      <c r="AY40" s="286">
        <f t="shared" si="57"/>
        <v>809.85446936721439</v>
      </c>
      <c r="AZ40" s="287">
        <f t="shared" si="58"/>
        <v>2024.6361734180359</v>
      </c>
      <c r="BB40" s="3" t="s">
        <v>18</v>
      </c>
      <c r="BC40" s="301"/>
      <c r="BD40" s="110">
        <f t="shared" si="59"/>
        <v>485912.68162032875</v>
      </c>
      <c r="BE40" s="86">
        <f t="shared" si="60"/>
        <v>5169.602822518078</v>
      </c>
      <c r="BF40" s="286">
        <f t="shared" si="61"/>
        <v>4859.1268162032866</v>
      </c>
      <c r="BG40" s="287">
        <f t="shared" si="62"/>
        <v>12147.817040508216</v>
      </c>
      <c r="BH40" s="115"/>
    </row>
    <row r="41" spans="2:60" ht="13" customHeight="1" x14ac:dyDescent="0.35">
      <c r="B41" s="210">
        <v>14</v>
      </c>
      <c r="C41" s="3" t="s">
        <v>108</v>
      </c>
      <c r="D41" s="281"/>
      <c r="E41" s="217"/>
      <c r="F41" s="238"/>
      <c r="G41" s="238"/>
      <c r="H41" s="110"/>
      <c r="I41" s="110"/>
      <c r="J41" s="208"/>
      <c r="L41" s="113" t="s">
        <v>109</v>
      </c>
      <c r="M41" s="298">
        <v>5</v>
      </c>
      <c r="N41" s="42">
        <f>0.921*5</f>
        <v>4.6050000000000004</v>
      </c>
      <c r="O41" s="110"/>
      <c r="P41" s="110"/>
      <c r="Q41" s="208"/>
      <c r="S41" s="113" t="s">
        <v>109</v>
      </c>
      <c r="T41" s="297">
        <v>4.5</v>
      </c>
      <c r="U41" s="295">
        <f>0.921*4.5</f>
        <v>4.1444999999999999</v>
      </c>
      <c r="V41" s="280"/>
      <c r="W41" s="280"/>
      <c r="X41" s="209"/>
      <c r="Z41" s="113" t="s">
        <v>109</v>
      </c>
      <c r="AA41" s="277">
        <v>0</v>
      </c>
      <c r="AB41" s="42">
        <v>0</v>
      </c>
      <c r="AC41" s="110"/>
      <c r="AD41" s="110"/>
      <c r="AE41" s="208"/>
      <c r="AG41" s="113" t="s">
        <v>109</v>
      </c>
      <c r="AH41" s="277">
        <v>0.1</v>
      </c>
      <c r="AI41" s="42">
        <f>0.921*AH41</f>
        <v>9.2100000000000015E-2</v>
      </c>
      <c r="AJ41" s="110"/>
      <c r="AK41" s="110"/>
      <c r="AL41" s="208"/>
      <c r="AN41" s="113" t="s">
        <v>109</v>
      </c>
      <c r="AO41" s="277">
        <v>0.5</v>
      </c>
      <c r="AP41" s="42">
        <f>AO41*0.92</f>
        <v>0.46</v>
      </c>
      <c r="AQ41" s="110"/>
      <c r="AR41" s="110"/>
      <c r="AS41" s="208"/>
      <c r="AU41" s="113" t="s">
        <v>109</v>
      </c>
      <c r="AV41" s="277">
        <v>5</v>
      </c>
      <c r="AW41" s="42">
        <f>AV41*0.921</f>
        <v>4.6050000000000004</v>
      </c>
      <c r="AX41" s="110"/>
      <c r="AY41" s="110"/>
      <c r="AZ41" s="208"/>
      <c r="BB41" s="113" t="s">
        <v>109</v>
      </c>
      <c r="BC41" s="277">
        <v>30</v>
      </c>
      <c r="BD41" s="42">
        <f>BC41*0.921</f>
        <v>27.630000000000003</v>
      </c>
      <c r="BE41" s="110"/>
      <c r="BF41" s="110"/>
      <c r="BG41" s="208"/>
      <c r="BH41" s="115"/>
    </row>
    <row r="42" spans="2:60" ht="14" customHeight="1" x14ac:dyDescent="0.35">
      <c r="B42" s="210">
        <v>15</v>
      </c>
      <c r="C42" s="272" t="s">
        <v>101</v>
      </c>
      <c r="D42" s="278">
        <v>0.94806000000000001</v>
      </c>
      <c r="E42" s="18"/>
      <c r="F42" s="277">
        <v>78</v>
      </c>
      <c r="G42" s="277">
        <f>G43-(SUM(G28:G32)+SUM(G34:G40))</f>
        <v>72.811240000000026</v>
      </c>
      <c r="H42" s="14"/>
      <c r="I42" s="14"/>
      <c r="J42" s="126"/>
      <c r="L42" s="272" t="s">
        <v>101</v>
      </c>
      <c r="M42" s="298">
        <v>95</v>
      </c>
      <c r="N42" s="19">
        <f>M42*D42</f>
        <v>90.065700000000007</v>
      </c>
      <c r="O42" s="14"/>
      <c r="P42" s="14"/>
      <c r="Q42" s="126"/>
      <c r="S42" s="272" t="s">
        <v>101</v>
      </c>
      <c r="T42" s="298">
        <v>95.5</v>
      </c>
      <c r="U42" s="19">
        <f>T42*D42</f>
        <v>90.539730000000006</v>
      </c>
      <c r="V42" s="14"/>
      <c r="W42" s="14"/>
      <c r="X42" s="126"/>
      <c r="Z42" s="272" t="s">
        <v>101</v>
      </c>
      <c r="AA42" s="277">
        <v>100</v>
      </c>
      <c r="AB42" s="19">
        <f>AA42*D42</f>
        <v>94.805999999999997</v>
      </c>
      <c r="AC42" s="14"/>
      <c r="AD42" s="14"/>
      <c r="AE42" s="126"/>
      <c r="AG42" s="272" t="s">
        <v>101</v>
      </c>
      <c r="AH42" s="277">
        <v>99.9</v>
      </c>
      <c r="AI42" s="19">
        <f>AH42*D42</f>
        <v>94.711194000000006</v>
      </c>
      <c r="AJ42" s="14"/>
      <c r="AK42" s="14"/>
      <c r="AL42" s="126"/>
      <c r="AN42" s="272" t="s">
        <v>101</v>
      </c>
      <c r="AO42" s="277">
        <v>99.5</v>
      </c>
      <c r="AP42" s="19">
        <f>AO42*D42</f>
        <v>94.331969999999998</v>
      </c>
      <c r="AQ42" s="14"/>
      <c r="AR42" s="14"/>
      <c r="AS42" s="126"/>
      <c r="AU42" s="272" t="s">
        <v>101</v>
      </c>
      <c r="AV42" s="277">
        <v>95</v>
      </c>
      <c r="AW42" s="19">
        <f>AV42*D42</f>
        <v>90.065700000000007</v>
      </c>
      <c r="AX42" s="14"/>
      <c r="AY42" s="14"/>
      <c r="AZ42" s="126"/>
      <c r="BB42" s="272" t="s">
        <v>101</v>
      </c>
      <c r="BC42" s="277">
        <v>70</v>
      </c>
      <c r="BD42" s="19">
        <f>BC42*D42</f>
        <v>66.364199999999997</v>
      </c>
      <c r="BE42" s="14"/>
      <c r="BF42" s="14"/>
      <c r="BG42" s="126"/>
      <c r="BH42" s="115"/>
    </row>
    <row r="43" spans="2:60" ht="14" customHeight="1" x14ac:dyDescent="0.35">
      <c r="B43" s="290">
        <v>16</v>
      </c>
      <c r="C43" s="282" t="s">
        <v>97</v>
      </c>
      <c r="D43" s="283"/>
      <c r="E43" s="283"/>
      <c r="F43" s="284">
        <f>SUM(F28:F32)+SUM(F34:F42)</f>
        <v>100</v>
      </c>
      <c r="G43" s="285">
        <v>92.162040000000019</v>
      </c>
      <c r="H43" s="124"/>
      <c r="I43" s="286">
        <f>G43/F43*1000*1000</f>
        <v>921620.40000000026</v>
      </c>
      <c r="J43" s="26"/>
      <c r="L43" s="282" t="s">
        <v>97</v>
      </c>
      <c r="M43" s="299">
        <f>M41+M42</f>
        <v>100</v>
      </c>
      <c r="N43" s="292">
        <f>N41+N42</f>
        <v>94.670700000000011</v>
      </c>
      <c r="O43" s="124"/>
      <c r="P43" s="286">
        <f>N43/M43*1000*1000</f>
        <v>946707.00000000012</v>
      </c>
      <c r="Q43" s="26"/>
      <c r="S43" s="282" t="s">
        <v>97</v>
      </c>
      <c r="T43" s="299">
        <f>T41+T42</f>
        <v>100</v>
      </c>
      <c r="U43" s="292">
        <f>U41+U42</f>
        <v>94.684229999999999</v>
      </c>
      <c r="V43" s="124"/>
      <c r="W43" s="286">
        <f>U43/T43*1000*1000</f>
        <v>946842.3</v>
      </c>
      <c r="X43" s="26"/>
      <c r="Z43" s="282" t="s">
        <v>97</v>
      </c>
      <c r="AA43" s="284">
        <f>AA41+AA42</f>
        <v>100</v>
      </c>
      <c r="AB43" s="292">
        <f>AB41+AB42</f>
        <v>94.805999999999997</v>
      </c>
      <c r="AC43" s="124"/>
      <c r="AD43" s="124"/>
      <c r="AE43" s="26"/>
      <c r="AG43" s="282" t="s">
        <v>97</v>
      </c>
      <c r="AH43" s="284">
        <f>AH41+AH42</f>
        <v>100</v>
      </c>
      <c r="AI43" s="292">
        <f>AI41+AI42</f>
        <v>94.803294000000008</v>
      </c>
      <c r="AJ43" s="124"/>
      <c r="AK43" s="124"/>
      <c r="AL43" s="26"/>
      <c r="AN43" s="282" t="s">
        <v>97</v>
      </c>
      <c r="AO43" s="284">
        <f>AO41+AO42</f>
        <v>100</v>
      </c>
      <c r="AP43" s="292">
        <f>AP41+AP42</f>
        <v>94.791969999999992</v>
      </c>
      <c r="AQ43" s="124"/>
      <c r="AR43" s="124"/>
      <c r="AS43" s="26"/>
      <c r="AU43" s="282" t="s">
        <v>97</v>
      </c>
      <c r="AV43" s="284">
        <f>AV41+AV42</f>
        <v>100</v>
      </c>
      <c r="AW43" s="292">
        <f>AW41+AW42</f>
        <v>94.670700000000011</v>
      </c>
      <c r="AX43" s="124"/>
      <c r="AY43" s="124"/>
      <c r="AZ43" s="26"/>
      <c r="BB43" s="282" t="s">
        <v>97</v>
      </c>
      <c r="BC43" s="284">
        <f>BC41+BC42</f>
        <v>100</v>
      </c>
      <c r="BD43" s="292">
        <f>BD41+BD42</f>
        <v>93.994200000000006</v>
      </c>
      <c r="BE43" s="124"/>
      <c r="BF43" s="124"/>
      <c r="BG43" s="26"/>
      <c r="BH43" s="115"/>
    </row>
    <row r="44" spans="2:60" x14ac:dyDescent="0.35">
      <c r="G44" s="311">
        <f>SUM(G28:G32)+SUM(G34:G40)+G42</f>
        <v>92.162040000000019</v>
      </c>
      <c r="N44" s="312">
        <f>SUM(N28:N32)+SUM(N34:N40)+N42</f>
        <v>966978.7543618395</v>
      </c>
      <c r="BB44" s="115"/>
      <c r="BC44" s="115"/>
      <c r="BD44" s="115"/>
      <c r="BE44" s="115"/>
      <c r="BF44" s="115"/>
      <c r="BG44" s="115"/>
      <c r="BH44" s="115"/>
    </row>
  </sheetData>
  <mergeCells count="2">
    <mergeCell ref="U2:W2"/>
    <mergeCell ref="U24:W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77"/>
  <sheetViews>
    <sheetView topLeftCell="A4" zoomScale="40" zoomScaleNormal="40" workbookViewId="0">
      <selection activeCell="X47" sqref="X47"/>
    </sheetView>
  </sheetViews>
  <sheetFormatPr defaultColWidth="8.90625" defaultRowHeight="13" x14ac:dyDescent="0.3"/>
  <cols>
    <col min="1" max="1" width="4.54296875" style="30" customWidth="1"/>
    <col min="2" max="2" width="19.08984375" style="30" customWidth="1"/>
    <col min="3" max="3" width="12.81640625" style="30" customWidth="1"/>
    <col min="4" max="4" width="12.90625" style="30" customWidth="1"/>
    <col min="5" max="5" width="14.08984375" style="30" customWidth="1"/>
    <col min="6" max="6" width="12.08984375" style="30" customWidth="1"/>
    <col min="7" max="7" width="11.08984375" style="30" customWidth="1"/>
    <col min="8" max="8" width="11.54296875" style="30" customWidth="1"/>
    <col min="9" max="9" width="11.6328125" style="30" customWidth="1"/>
    <col min="10" max="10" width="10.90625" style="30" customWidth="1"/>
    <col min="11" max="11" width="11" style="30" customWidth="1"/>
    <col min="12" max="12" width="11.36328125" style="30" customWidth="1"/>
    <col min="13" max="13" width="10.453125" style="30" customWidth="1"/>
    <col min="14" max="14" width="10.36328125" style="30" customWidth="1"/>
    <col min="15" max="15" width="10.90625" style="30" customWidth="1"/>
    <col min="16" max="16" width="9.81640625" style="30" customWidth="1"/>
    <col min="17" max="17" width="9.90625" style="29" customWidth="1"/>
    <col min="18" max="18" width="8.90625" style="30" customWidth="1"/>
    <col min="19" max="19" width="9.453125" style="30" customWidth="1"/>
    <col min="20" max="20" width="9.1796875" style="30" customWidth="1"/>
    <col min="21" max="21" width="9" style="30" customWidth="1"/>
    <col min="22" max="25" width="8.90625" style="30" customWidth="1"/>
    <col min="26" max="26" width="11.453125" style="30" customWidth="1"/>
    <col min="27" max="27" width="9.1796875" style="30" customWidth="1"/>
    <col min="28" max="28" width="8.90625" style="30" customWidth="1"/>
    <col min="29" max="29" width="10.7265625" style="30" customWidth="1"/>
    <col min="30" max="30" width="10" style="30" customWidth="1"/>
    <col min="31" max="31" width="9.6328125" style="30" customWidth="1"/>
    <col min="32" max="32" width="9.08984375" style="30" customWidth="1"/>
    <col min="33" max="34" width="8.90625" style="30" customWidth="1"/>
    <col min="35" max="35" width="11.6328125" style="30" customWidth="1"/>
    <col min="36" max="16384" width="8.90625" style="30"/>
  </cols>
  <sheetData>
    <row r="1" spans="1:21" ht="14.5" x14ac:dyDescent="0.35">
      <c r="B1" s="255" t="s">
        <v>88</v>
      </c>
      <c r="C1" s="256"/>
      <c r="D1" s="256"/>
      <c r="E1" s="256"/>
      <c r="F1" s="256"/>
      <c r="G1" s="257"/>
    </row>
    <row r="2" spans="1:21" x14ac:dyDescent="0.3">
      <c r="B2" s="315" t="s">
        <v>87</v>
      </c>
      <c r="C2" s="316"/>
      <c r="D2" s="316"/>
      <c r="E2" s="316"/>
      <c r="F2" s="316"/>
      <c r="G2" s="317"/>
    </row>
    <row r="3" spans="1:21" x14ac:dyDescent="0.3">
      <c r="B3" s="318"/>
      <c r="C3" s="319"/>
      <c r="D3" s="319"/>
      <c r="E3" s="319"/>
      <c r="F3" s="319"/>
      <c r="G3" s="320"/>
    </row>
    <row r="4" spans="1:21" ht="14.5" x14ac:dyDescent="0.35">
      <c r="B4" s="216"/>
      <c r="C4" s="216"/>
      <c r="D4" s="216"/>
      <c r="E4" s="216"/>
      <c r="F4" s="216"/>
      <c r="G4" s="216"/>
    </row>
    <row r="5" spans="1:21" x14ac:dyDescent="0.3">
      <c r="B5" s="27" t="s">
        <v>33</v>
      </c>
      <c r="C5" s="28"/>
      <c r="D5" s="28"/>
      <c r="E5" s="28"/>
      <c r="F5" s="28"/>
      <c r="G5" s="28"/>
      <c r="H5" s="28"/>
    </row>
    <row r="6" spans="1:21" x14ac:dyDescent="0.3">
      <c r="B6" s="100" t="s">
        <v>91</v>
      </c>
      <c r="C6" s="77"/>
      <c r="D6" s="77"/>
      <c r="E6" s="77"/>
      <c r="F6" s="77"/>
      <c r="G6" s="77"/>
      <c r="H6" s="77"/>
    </row>
    <row r="7" spans="1:21" x14ac:dyDescent="0.3">
      <c r="B7" s="264" t="s">
        <v>92</v>
      </c>
      <c r="C7" s="264"/>
      <c r="D7" s="265"/>
      <c r="E7" s="265"/>
      <c r="F7" s="265"/>
      <c r="G7" s="265"/>
      <c r="H7" s="265"/>
      <c r="I7" s="105"/>
    </row>
    <row r="8" spans="1:21" x14ac:dyDescent="0.3">
      <c r="A8" s="46"/>
      <c r="B8" s="264" t="s">
        <v>93</v>
      </c>
      <c r="C8" s="264"/>
      <c r="D8" s="265"/>
      <c r="E8" s="265"/>
      <c r="F8" s="265"/>
      <c r="G8" s="265"/>
      <c r="H8" s="265"/>
      <c r="I8" s="105"/>
    </row>
    <row r="9" spans="1:21" ht="10.5" customHeight="1" x14ac:dyDescent="0.3">
      <c r="B9" s="112"/>
      <c r="C9" s="202"/>
      <c r="D9" s="202"/>
      <c r="E9" s="202"/>
      <c r="F9" s="202"/>
      <c r="G9" s="202"/>
      <c r="H9" s="202"/>
      <c r="Q9" s="30"/>
    </row>
    <row r="10" spans="1:21" ht="14.5" x14ac:dyDescent="0.35">
      <c r="B10" s="30" t="s">
        <v>23</v>
      </c>
      <c r="C10" s="321" t="s">
        <v>74</v>
      </c>
      <c r="D10" s="322"/>
      <c r="E10" s="322"/>
      <c r="F10" s="322"/>
      <c r="G10" s="322"/>
      <c r="Q10" s="30"/>
    </row>
    <row r="11" spans="1:21" x14ac:dyDescent="0.3">
      <c r="B11" s="30" t="s">
        <v>26</v>
      </c>
      <c r="C11" s="31">
        <v>40</v>
      </c>
      <c r="D11" s="29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1" x14ac:dyDescent="0.3">
      <c r="B12" s="30" t="s">
        <v>35</v>
      </c>
      <c r="C12" s="114">
        <v>94806</v>
      </c>
      <c r="D12" s="29"/>
      <c r="I12" s="46"/>
      <c r="J12" s="46"/>
      <c r="K12" s="46"/>
      <c r="L12" s="46"/>
      <c r="M12" s="46"/>
      <c r="N12" s="46"/>
      <c r="O12" s="46"/>
      <c r="P12" s="46"/>
      <c r="Q12" s="87"/>
      <c r="R12" s="46"/>
      <c r="S12" s="46"/>
      <c r="T12" s="46"/>
      <c r="U12" s="46"/>
    </row>
    <row r="13" spans="1:21" ht="14.5" x14ac:dyDescent="0.3">
      <c r="B13" s="347" t="s">
        <v>0</v>
      </c>
      <c r="C13" s="345" t="s">
        <v>71</v>
      </c>
      <c r="D13" s="346"/>
      <c r="E13" s="346"/>
      <c r="F13" s="346"/>
      <c r="G13" s="346"/>
      <c r="H13" s="70"/>
      <c r="I13" s="46"/>
      <c r="J13" s="46"/>
      <c r="K13" s="46"/>
      <c r="L13" s="46" t="s">
        <v>94</v>
      </c>
      <c r="M13" s="46"/>
      <c r="N13" s="46"/>
      <c r="O13" s="46"/>
      <c r="P13" s="46"/>
      <c r="Q13" s="46"/>
      <c r="R13" s="46"/>
      <c r="S13" s="46"/>
      <c r="T13" s="46"/>
      <c r="U13" s="46"/>
    </row>
    <row r="14" spans="1:21" x14ac:dyDescent="0.3">
      <c r="B14" s="348"/>
      <c r="C14" s="41">
        <v>0.1</v>
      </c>
      <c r="D14" s="9">
        <v>0.5</v>
      </c>
      <c r="E14" s="9">
        <v>1</v>
      </c>
      <c r="F14" s="9">
        <v>1.5</v>
      </c>
      <c r="G14" s="9">
        <v>2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x14ac:dyDescent="0.3">
      <c r="B15" s="113" t="s">
        <v>9</v>
      </c>
      <c r="C15" s="192">
        <v>19.244956181231508</v>
      </c>
      <c r="D15" s="192">
        <v>95.662841222033634</v>
      </c>
      <c r="E15" s="192">
        <v>180.68340640774784</v>
      </c>
      <c r="F15" s="192">
        <v>277.80203757003386</v>
      </c>
      <c r="G15" s="193">
        <v>371.74044062454232</v>
      </c>
      <c r="H15" s="71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1" x14ac:dyDescent="0.3">
      <c r="B16" s="3" t="s">
        <v>10</v>
      </c>
      <c r="C16" s="19">
        <v>30.671259588914189</v>
      </c>
      <c r="D16" s="19">
        <v>152.46071794102247</v>
      </c>
      <c r="E16" s="19">
        <v>287.96052374210655</v>
      </c>
      <c r="F16" s="19">
        <v>442.74137744981664</v>
      </c>
      <c r="G16" s="20">
        <v>592.45380694668177</v>
      </c>
      <c r="H16" s="71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</row>
    <row r="17" spans="2:21" x14ac:dyDescent="0.3">
      <c r="B17" s="3" t="s">
        <v>11</v>
      </c>
      <c r="C17" s="19">
        <v>27.705091239925853</v>
      </c>
      <c r="D17" s="19">
        <v>137.71648630261427</v>
      </c>
      <c r="E17" s="19">
        <v>260.11232309009745</v>
      </c>
      <c r="F17" s="19">
        <v>399.92456854856732</v>
      </c>
      <c r="G17" s="20">
        <v>535.15854897696784</v>
      </c>
      <c r="H17" s="71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</row>
    <row r="18" spans="2:21" x14ac:dyDescent="0.3">
      <c r="B18" s="3" t="s">
        <v>12</v>
      </c>
      <c r="C18" s="19">
        <v>24.850190433176881</v>
      </c>
      <c r="D18" s="19">
        <v>123.52534343854119</v>
      </c>
      <c r="E18" s="19">
        <v>233.30877010395477</v>
      </c>
      <c r="F18" s="19">
        <v>358.71391295098999</v>
      </c>
      <c r="G18" s="20">
        <v>480.01256299258665</v>
      </c>
      <c r="H18" s="71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</row>
    <row r="19" spans="2:21" x14ac:dyDescent="0.3">
      <c r="B19" s="3" t="s">
        <v>13</v>
      </c>
      <c r="C19" s="19">
        <v>21.634034076029458</v>
      </c>
      <c r="D19" s="19">
        <v>107.53847123983611</v>
      </c>
      <c r="E19" s="19">
        <v>203.1135293002346</v>
      </c>
      <c r="F19" s="19">
        <v>312.28851292692013</v>
      </c>
      <c r="G19" s="20">
        <v>417.88847343558467</v>
      </c>
      <c r="H19" s="71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2:21" x14ac:dyDescent="0.3">
      <c r="B20" s="3" t="s">
        <v>20</v>
      </c>
      <c r="C20" s="234"/>
      <c r="D20" s="234"/>
      <c r="E20" s="234"/>
      <c r="F20" s="234"/>
      <c r="G20" s="235"/>
      <c r="H20" s="71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</row>
    <row r="21" spans="2:21" x14ac:dyDescent="0.3">
      <c r="B21" s="3" t="s">
        <v>14</v>
      </c>
      <c r="C21" s="19">
        <v>22.374537201563509</v>
      </c>
      <c r="D21" s="19">
        <v>111.21936467785122</v>
      </c>
      <c r="E21" s="19">
        <v>210.06582505591729</v>
      </c>
      <c r="F21" s="19">
        <v>322.97771768078485</v>
      </c>
      <c r="G21" s="20">
        <v>432.19221908081181</v>
      </c>
      <c r="H21" s="71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2:21" x14ac:dyDescent="0.3">
      <c r="B22" s="3" t="s">
        <v>15</v>
      </c>
      <c r="C22" s="19">
        <v>21.753109391805673</v>
      </c>
      <c r="D22" s="19">
        <v>108.13037090015713</v>
      </c>
      <c r="E22" s="19">
        <v>204.23148111425365</v>
      </c>
      <c r="F22" s="19">
        <v>314.00737188588141</v>
      </c>
      <c r="G22" s="20">
        <v>420.18856234913221</v>
      </c>
      <c r="H22" s="71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  <row r="23" spans="2:21" x14ac:dyDescent="0.3">
      <c r="B23" s="3" t="s">
        <v>1</v>
      </c>
      <c r="C23" s="19">
        <v>21.317443036627026</v>
      </c>
      <c r="D23" s="19">
        <v>105.96476028671843</v>
      </c>
      <c r="E23" s="19">
        <v>200.14117919983852</v>
      </c>
      <c r="F23" s="19">
        <v>307.71850325819537</v>
      </c>
      <c r="G23" s="20">
        <v>411.77312085296774</v>
      </c>
      <c r="H23" s="71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</row>
    <row r="24" spans="2:21" x14ac:dyDescent="0.3">
      <c r="B24" s="2" t="s">
        <v>19</v>
      </c>
      <c r="C24" s="19">
        <v>229</v>
      </c>
      <c r="D24" s="19">
        <v>228</v>
      </c>
      <c r="E24" s="19">
        <v>226</v>
      </c>
      <c r="F24" s="19">
        <v>228</v>
      </c>
      <c r="G24" s="20">
        <v>226</v>
      </c>
      <c r="H24" s="71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2:21" x14ac:dyDescent="0.3">
      <c r="B25" s="3" t="s">
        <v>16</v>
      </c>
      <c r="C25" s="42">
        <v>22.324414082900912</v>
      </c>
      <c r="D25" s="42">
        <v>110.97021264565022</v>
      </c>
      <c r="E25" s="42">
        <v>209.59523859500504</v>
      </c>
      <c r="F25" s="42">
        <v>322.254187610739</v>
      </c>
      <c r="G25" s="43">
        <v>431.22402824464444</v>
      </c>
      <c r="H25" s="71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2:21" x14ac:dyDescent="0.3">
      <c r="B26" s="3" t="s">
        <v>17</v>
      </c>
      <c r="C26" s="42">
        <v>23.099163383891401</v>
      </c>
      <c r="D26" s="42">
        <v>114.82133699582222</v>
      </c>
      <c r="E26" s="42">
        <v>216.86905836870253</v>
      </c>
      <c r="F26" s="42">
        <v>333.43773785602434</v>
      </c>
      <c r="G26" s="43">
        <v>446.18928167580771</v>
      </c>
      <c r="H26" s="71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  <row r="27" spans="2:21" x14ac:dyDescent="0.3">
      <c r="B27" s="4" t="s">
        <v>18</v>
      </c>
      <c r="C27" s="44">
        <v>22.141814700998545</v>
      </c>
      <c r="D27" s="44">
        <v>110.06254751439867</v>
      </c>
      <c r="E27" s="44">
        <v>207.88088403792659</v>
      </c>
      <c r="F27" s="44">
        <v>319.61835514254273</v>
      </c>
      <c r="G27" s="45">
        <v>427.69689240463902</v>
      </c>
      <c r="H27" s="71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2:21" ht="8" customHeight="1" x14ac:dyDescent="0.3">
      <c r="B28" s="131"/>
      <c r="C28" s="86"/>
      <c r="D28" s="86"/>
      <c r="E28" s="86"/>
      <c r="F28" s="86"/>
      <c r="G28" s="86"/>
      <c r="H28" s="71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2:21" ht="14.5" customHeight="1" x14ac:dyDescent="0.3">
      <c r="B29" s="347" t="s">
        <v>0</v>
      </c>
      <c r="C29" s="345" t="s">
        <v>43</v>
      </c>
      <c r="D29" s="346"/>
      <c r="E29" s="346"/>
      <c r="F29" s="346"/>
      <c r="G29" s="346"/>
      <c r="H29" s="70"/>
      <c r="I29" s="196"/>
      <c r="J29" s="15"/>
      <c r="K29" s="15"/>
      <c r="L29" s="46"/>
      <c r="M29" s="46"/>
      <c r="N29" s="46"/>
      <c r="O29" s="46"/>
      <c r="P29" s="46"/>
      <c r="Q29" s="46"/>
      <c r="R29" s="46"/>
      <c r="S29" s="46"/>
      <c r="T29" s="46"/>
      <c r="U29" s="46"/>
    </row>
    <row r="30" spans="2:21" x14ac:dyDescent="0.3">
      <c r="B30" s="348"/>
      <c r="C30" s="41">
        <v>0.1</v>
      </c>
      <c r="D30" s="9">
        <v>0.5</v>
      </c>
      <c r="E30" s="222">
        <v>1</v>
      </c>
      <c r="F30" s="9">
        <v>1.5</v>
      </c>
      <c r="G30" s="222">
        <v>2</v>
      </c>
      <c r="I30" s="46"/>
      <c r="J30" s="15"/>
      <c r="K30" s="15"/>
      <c r="L30" s="15"/>
      <c r="M30" s="15"/>
      <c r="N30" s="15"/>
      <c r="O30" s="46"/>
      <c r="P30" s="46"/>
      <c r="Q30" s="46"/>
      <c r="R30" s="46"/>
      <c r="S30" s="46"/>
      <c r="T30" s="46"/>
      <c r="U30" s="46"/>
    </row>
    <row r="31" spans="2:21" x14ac:dyDescent="0.3">
      <c r="B31" s="3" t="s">
        <v>9</v>
      </c>
      <c r="C31" s="1">
        <f>C15*$C$12/100000</f>
        <v>18.245373157178342</v>
      </c>
      <c r="D31" s="1">
        <f t="shared" ref="D31:G31" si="0">D15*$C$12/100000</f>
        <v>90.694113248961216</v>
      </c>
      <c r="E31" s="1">
        <f t="shared" si="0"/>
        <v>171.29871027892941</v>
      </c>
      <c r="F31" s="1">
        <f t="shared" si="0"/>
        <v>263.37299973864629</v>
      </c>
      <c r="G31" s="17">
        <f t="shared" si="0"/>
        <v>352.43224213850357</v>
      </c>
      <c r="I31" s="46"/>
      <c r="J31" s="12"/>
      <c r="K31" s="12"/>
      <c r="L31" s="12"/>
      <c r="M31" s="12"/>
      <c r="N31" s="12"/>
      <c r="O31" s="46"/>
      <c r="P31" s="79"/>
      <c r="Q31" s="79"/>
      <c r="R31" s="79"/>
      <c r="S31" s="79"/>
      <c r="T31" s="79"/>
      <c r="U31" s="46"/>
    </row>
    <row r="32" spans="2:21" x14ac:dyDescent="0.3">
      <c r="B32" s="3" t="s">
        <v>10</v>
      </c>
      <c r="C32" s="1">
        <f t="shared" ref="C32:G32" si="1">C16*$C$12/100000</f>
        <v>29.07819436586599</v>
      </c>
      <c r="D32" s="1">
        <f t="shared" si="1"/>
        <v>144.54190825116578</v>
      </c>
      <c r="E32" s="1">
        <f t="shared" si="1"/>
        <v>273.00385413894156</v>
      </c>
      <c r="F32" s="1">
        <f t="shared" si="1"/>
        <v>419.74539030507322</v>
      </c>
      <c r="G32" s="17">
        <f t="shared" si="1"/>
        <v>561.68175621387104</v>
      </c>
      <c r="I32" s="46"/>
      <c r="J32" s="12"/>
      <c r="K32" s="12"/>
      <c r="L32" s="12"/>
      <c r="M32" s="12"/>
      <c r="N32" s="12"/>
      <c r="O32" s="46"/>
      <c r="P32" s="79"/>
      <c r="Q32" s="79"/>
      <c r="R32" s="79"/>
      <c r="S32" s="79"/>
      <c r="T32" s="79"/>
      <c r="U32" s="46"/>
    </row>
    <row r="33" spans="2:40" x14ac:dyDescent="0.3">
      <c r="B33" s="3" t="s">
        <v>11</v>
      </c>
      <c r="C33" s="1">
        <f t="shared" ref="C33:G33" si="2">C17*$C$12/100000</f>
        <v>26.266088800924102</v>
      </c>
      <c r="D33" s="1">
        <f t="shared" si="2"/>
        <v>130.56349200405649</v>
      </c>
      <c r="E33" s="1">
        <f t="shared" si="2"/>
        <v>246.60208902879779</v>
      </c>
      <c r="F33" s="1">
        <f t="shared" si="2"/>
        <v>379.15248645815478</v>
      </c>
      <c r="G33" s="17">
        <f t="shared" si="2"/>
        <v>507.36241394310417</v>
      </c>
      <c r="I33" s="46"/>
      <c r="J33" s="12"/>
      <c r="K33" s="12"/>
      <c r="L33" s="12"/>
      <c r="M33" s="12"/>
      <c r="N33" s="12"/>
      <c r="O33" s="46"/>
      <c r="P33" s="79"/>
      <c r="Q33" s="79"/>
      <c r="R33" s="79"/>
      <c r="S33" s="79"/>
      <c r="T33" s="79"/>
      <c r="U33" s="46"/>
    </row>
    <row r="34" spans="2:40" x14ac:dyDescent="0.3">
      <c r="B34" s="3" t="s">
        <v>12</v>
      </c>
      <c r="C34" s="1">
        <f t="shared" ref="C34:G34" si="3">C18*$C$12/100000</f>
        <v>23.559471542077674</v>
      </c>
      <c r="D34" s="1">
        <f t="shared" si="3"/>
        <v>117.10943710034336</v>
      </c>
      <c r="E34" s="1">
        <f t="shared" si="3"/>
        <v>221.19071258475535</v>
      </c>
      <c r="F34" s="1">
        <f t="shared" si="3"/>
        <v>340.08231231231554</v>
      </c>
      <c r="G34" s="17">
        <f t="shared" si="3"/>
        <v>455.08071047075168</v>
      </c>
      <c r="I34" s="46"/>
      <c r="J34" s="12"/>
      <c r="K34" s="12"/>
      <c r="L34" s="12"/>
      <c r="M34" s="12"/>
      <c r="N34" s="12"/>
      <c r="O34" s="46"/>
      <c r="P34" s="79"/>
      <c r="Q34" s="79"/>
      <c r="R34" s="79"/>
      <c r="S34" s="79"/>
      <c r="T34" s="79"/>
      <c r="U34" s="46"/>
    </row>
    <row r="35" spans="2:40" x14ac:dyDescent="0.3">
      <c r="B35" s="3" t="s">
        <v>13</v>
      </c>
      <c r="C35" s="1">
        <f t="shared" ref="C35:G35" si="4">C19*$C$12/100000</f>
        <v>20.510362346120488</v>
      </c>
      <c r="D35" s="1">
        <f t="shared" si="4"/>
        <v>101.95292304363903</v>
      </c>
      <c r="E35" s="1">
        <f t="shared" si="4"/>
        <v>192.56381258838042</v>
      </c>
      <c r="F35" s="1">
        <f t="shared" si="4"/>
        <v>296.06824756549588</v>
      </c>
      <c r="G35" s="17">
        <f t="shared" si="4"/>
        <v>396.18334612534039</v>
      </c>
      <c r="I35" s="46"/>
      <c r="J35" s="12"/>
      <c r="K35" s="12"/>
      <c r="L35" s="12"/>
      <c r="M35" s="12"/>
      <c r="N35" s="12"/>
      <c r="O35" s="46"/>
      <c r="P35" s="79"/>
      <c r="Q35" s="79"/>
      <c r="R35" s="79"/>
      <c r="S35" s="79"/>
      <c r="T35" s="79"/>
      <c r="U35" s="46"/>
    </row>
    <row r="36" spans="2:40" x14ac:dyDescent="0.3">
      <c r="B36" s="3" t="s">
        <v>20</v>
      </c>
      <c r="C36" s="1"/>
      <c r="D36" s="1"/>
      <c r="E36" s="1"/>
      <c r="F36" s="1"/>
      <c r="G36" s="17"/>
      <c r="I36" s="46"/>
      <c r="J36" s="12"/>
      <c r="K36" s="12"/>
      <c r="L36" s="12"/>
      <c r="M36" s="12"/>
      <c r="N36" s="12"/>
      <c r="O36" s="46"/>
      <c r="P36" s="79"/>
      <c r="Q36" s="79"/>
      <c r="R36" s="79"/>
      <c r="S36" s="79"/>
      <c r="T36" s="79"/>
      <c r="U36" s="46"/>
    </row>
    <row r="37" spans="2:40" x14ac:dyDescent="0.3">
      <c r="B37" s="3" t="s">
        <v>14</v>
      </c>
      <c r="C37" s="1">
        <f t="shared" ref="C37:G37" si="5">C21*$C$12/100000</f>
        <v>21.212403739314297</v>
      </c>
      <c r="D37" s="1">
        <f t="shared" si="5"/>
        <v>105.44263087648362</v>
      </c>
      <c r="E37" s="1">
        <f t="shared" si="5"/>
        <v>199.15500610251291</v>
      </c>
      <c r="F37" s="1">
        <f t="shared" si="5"/>
        <v>306.20225502444487</v>
      </c>
      <c r="G37" s="17">
        <f t="shared" si="5"/>
        <v>409.74415522175445</v>
      </c>
      <c r="I37" s="46"/>
      <c r="J37" s="12"/>
      <c r="K37" s="12"/>
      <c r="L37" s="12"/>
      <c r="M37" s="12"/>
      <c r="N37" s="12"/>
      <c r="O37" s="46"/>
      <c r="P37" s="79"/>
      <c r="Q37" s="79"/>
      <c r="R37" s="79"/>
      <c r="S37" s="79"/>
      <c r="T37" s="79"/>
      <c r="U37" s="46"/>
    </row>
    <row r="38" spans="2:40" x14ac:dyDescent="0.3">
      <c r="B38" s="3" t="s">
        <v>15</v>
      </c>
      <c r="C38" s="1">
        <f t="shared" ref="C38:G38" si="6">C22*$C$12/100000</f>
        <v>20.623252889995285</v>
      </c>
      <c r="D38" s="1">
        <f t="shared" si="6"/>
        <v>102.51407943560297</v>
      </c>
      <c r="E38" s="1">
        <f t="shared" si="6"/>
        <v>193.62369798517932</v>
      </c>
      <c r="F38" s="1">
        <f t="shared" si="6"/>
        <v>297.69782899012876</v>
      </c>
      <c r="G38" s="17">
        <f t="shared" si="6"/>
        <v>398.36396842071832</v>
      </c>
      <c r="I38" s="46"/>
      <c r="J38" s="12"/>
      <c r="K38" s="12"/>
      <c r="L38" s="12"/>
      <c r="M38" s="12"/>
      <c r="N38" s="12"/>
      <c r="O38" s="46"/>
      <c r="P38" s="79"/>
      <c r="Q38" s="79"/>
      <c r="R38" s="79"/>
      <c r="S38" s="79"/>
      <c r="T38" s="79"/>
      <c r="U38" s="46"/>
    </row>
    <row r="39" spans="2:40" x14ac:dyDescent="0.3">
      <c r="B39" s="3" t="s">
        <v>1</v>
      </c>
      <c r="C39" s="1">
        <f t="shared" ref="C39:G39" si="7">C23*$C$12/100000</f>
        <v>20.210215045304619</v>
      </c>
      <c r="D39" s="1">
        <f t="shared" si="7"/>
        <v>100.46095063742628</v>
      </c>
      <c r="E39" s="1">
        <f t="shared" si="7"/>
        <v>189.7458463521989</v>
      </c>
      <c r="F39" s="1">
        <f t="shared" si="7"/>
        <v>291.73560419896467</v>
      </c>
      <c r="G39" s="17">
        <f t="shared" si="7"/>
        <v>390.38562495586461</v>
      </c>
      <c r="I39" s="46"/>
      <c r="J39" s="12"/>
      <c r="K39" s="12"/>
      <c r="L39" s="12"/>
      <c r="M39" s="12"/>
      <c r="N39" s="12"/>
      <c r="O39" s="46"/>
      <c r="P39" s="79"/>
      <c r="Q39" s="79"/>
      <c r="R39" s="79"/>
      <c r="S39" s="79"/>
      <c r="T39" s="79"/>
      <c r="U39" s="46"/>
    </row>
    <row r="40" spans="2:40" x14ac:dyDescent="0.3">
      <c r="B40" s="2" t="s">
        <v>19</v>
      </c>
      <c r="C40" s="1">
        <f t="shared" ref="C40:G40" si="8">C24*$C$12/100000</f>
        <v>217.10574</v>
      </c>
      <c r="D40" s="1">
        <f t="shared" si="8"/>
        <v>216.15768</v>
      </c>
      <c r="E40" s="1">
        <f t="shared" si="8"/>
        <v>214.26156</v>
      </c>
      <c r="F40" s="1">
        <f t="shared" si="8"/>
        <v>216.15768</v>
      </c>
      <c r="G40" s="17">
        <f t="shared" si="8"/>
        <v>214.26156</v>
      </c>
      <c r="I40" s="46"/>
      <c r="J40" s="12"/>
      <c r="K40" s="12"/>
      <c r="L40" s="12"/>
      <c r="M40" s="12"/>
      <c r="N40" s="12"/>
      <c r="O40" s="46"/>
      <c r="P40" s="79"/>
      <c r="Q40" s="79"/>
      <c r="R40" s="79"/>
      <c r="S40" s="79"/>
      <c r="T40" s="79"/>
      <c r="U40" s="46"/>
    </row>
    <row r="41" spans="2:40" x14ac:dyDescent="0.3">
      <c r="B41" s="3" t="s">
        <v>16</v>
      </c>
      <c r="C41" s="1">
        <f t="shared" ref="C41:G41" si="9">C25*$C$12/100000</f>
        <v>21.164884015435035</v>
      </c>
      <c r="D41" s="1">
        <f t="shared" si="9"/>
        <v>105.20641980083514</v>
      </c>
      <c r="E41" s="1">
        <f t="shared" si="9"/>
        <v>198.70886190238048</v>
      </c>
      <c r="F41" s="1">
        <f t="shared" si="9"/>
        <v>305.51630510623721</v>
      </c>
      <c r="G41" s="17">
        <f t="shared" si="9"/>
        <v>408.82625221761765</v>
      </c>
      <c r="I41" s="46"/>
      <c r="J41" s="12"/>
      <c r="K41" s="12"/>
      <c r="L41" s="12"/>
      <c r="M41" s="12"/>
      <c r="N41" s="12"/>
      <c r="O41" s="46"/>
      <c r="P41" s="79"/>
      <c r="Q41" s="79"/>
      <c r="R41" s="79"/>
      <c r="S41" s="79"/>
      <c r="T41" s="79"/>
      <c r="U41" s="46"/>
    </row>
    <row r="42" spans="2:40" x14ac:dyDescent="0.3">
      <c r="B42" s="3" t="s">
        <v>17</v>
      </c>
      <c r="C42" s="1">
        <f t="shared" ref="C42:G42" si="10">C26*$C$12/100000</f>
        <v>21.89939283773208</v>
      </c>
      <c r="D42" s="1">
        <f t="shared" si="10"/>
        <v>108.85751675225922</v>
      </c>
      <c r="E42" s="1">
        <f t="shared" si="10"/>
        <v>205.60487947703211</v>
      </c>
      <c r="F42" s="1">
        <f t="shared" si="10"/>
        <v>316.11898175178243</v>
      </c>
      <c r="G42" s="17">
        <f t="shared" si="10"/>
        <v>423.01421038556629</v>
      </c>
      <c r="I42" s="46"/>
      <c r="J42" s="12"/>
      <c r="K42" s="12"/>
      <c r="L42" s="12"/>
      <c r="M42" s="12"/>
      <c r="N42" s="12"/>
      <c r="O42" s="46"/>
      <c r="P42" s="79"/>
      <c r="Q42" s="79"/>
      <c r="R42" s="79"/>
      <c r="S42" s="79"/>
      <c r="T42" s="79"/>
      <c r="U42" s="46"/>
    </row>
    <row r="43" spans="2:40" x14ac:dyDescent="0.3">
      <c r="B43" s="4" t="s">
        <v>18</v>
      </c>
      <c r="C43" s="37">
        <f t="shared" ref="C43:G43" si="11">C27*$C$12/100000</f>
        <v>20.99176884542868</v>
      </c>
      <c r="D43" s="37">
        <f t="shared" si="11"/>
        <v>104.3458987965008</v>
      </c>
      <c r="E43" s="37">
        <f t="shared" si="11"/>
        <v>197.08355092099666</v>
      </c>
      <c r="F43" s="37">
        <f t="shared" si="11"/>
        <v>303.01737777643905</v>
      </c>
      <c r="G43" s="38">
        <f t="shared" si="11"/>
        <v>405.48231581314207</v>
      </c>
      <c r="I43" s="46"/>
      <c r="J43" s="197"/>
      <c r="K43" s="197"/>
      <c r="L43" s="197"/>
      <c r="M43" s="197"/>
      <c r="N43" s="197"/>
      <c r="O43" s="46"/>
      <c r="P43" s="79"/>
      <c r="Q43" s="79"/>
      <c r="R43" s="79"/>
      <c r="S43" s="79"/>
      <c r="T43" s="79"/>
      <c r="U43" s="46"/>
    </row>
    <row r="44" spans="2:40" ht="8" customHeight="1" x14ac:dyDescent="0.3">
      <c r="B44" s="35"/>
      <c r="C44" s="1"/>
      <c r="D44" s="1"/>
      <c r="E44" s="1"/>
      <c r="F44" s="1"/>
      <c r="G44" s="1"/>
      <c r="H44" s="1"/>
      <c r="I44" s="1"/>
      <c r="J44" s="1"/>
      <c r="K44" s="1"/>
      <c r="L44" s="1"/>
      <c r="M44" s="46"/>
      <c r="N44" s="79"/>
      <c r="O44" s="79"/>
      <c r="P44" s="79"/>
      <c r="Q44" s="79"/>
      <c r="R44" s="79"/>
      <c r="S44" s="46"/>
      <c r="T44" s="46"/>
      <c r="U44" s="46"/>
    </row>
    <row r="45" spans="2:40" ht="14.5" customHeight="1" x14ac:dyDescent="0.3">
      <c r="B45" s="347" t="s">
        <v>0</v>
      </c>
      <c r="C45" s="345" t="s">
        <v>44</v>
      </c>
      <c r="D45" s="346"/>
      <c r="E45" s="346"/>
      <c r="F45" s="346"/>
      <c r="G45" s="346"/>
      <c r="H45" s="329" t="s">
        <v>76</v>
      </c>
      <c r="I45" s="331" t="s">
        <v>77</v>
      </c>
      <c r="J45" s="15"/>
      <c r="K45" s="15"/>
      <c r="L45" s="46"/>
      <c r="M45" s="46"/>
      <c r="N45" s="46"/>
      <c r="O45" s="46"/>
      <c r="P45" s="46"/>
      <c r="Q45" s="87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</row>
    <row r="46" spans="2:40" ht="13" customHeight="1" x14ac:dyDescent="0.3">
      <c r="B46" s="348"/>
      <c r="C46" s="41">
        <v>0.1</v>
      </c>
      <c r="D46" s="9">
        <v>0.5</v>
      </c>
      <c r="E46" s="222">
        <v>1</v>
      </c>
      <c r="F46" s="9">
        <v>1.5</v>
      </c>
      <c r="G46" s="222">
        <v>2</v>
      </c>
      <c r="H46" s="330"/>
      <c r="I46" s="332"/>
      <c r="J46" s="15"/>
      <c r="K46" s="15"/>
      <c r="L46" s="46"/>
      <c r="M46" s="46"/>
      <c r="N46" s="46"/>
      <c r="O46" s="198"/>
      <c r="P46" s="198"/>
      <c r="Q46" s="198"/>
      <c r="R46" s="199"/>
      <c r="S46" s="198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</row>
    <row r="47" spans="2:40" x14ac:dyDescent="0.3">
      <c r="B47" s="113" t="s">
        <v>2</v>
      </c>
      <c r="C47" s="117">
        <f t="shared" ref="C47:G51" si="12">C31/$C$11*100</f>
        <v>45.613432892945852</v>
      </c>
      <c r="D47" s="117">
        <f t="shared" si="12"/>
        <v>226.73528312240302</v>
      </c>
      <c r="E47" s="230">
        <f t="shared" si="12"/>
        <v>428.24677569732347</v>
      </c>
      <c r="F47" s="117">
        <f t="shared" si="12"/>
        <v>658.43249934661571</v>
      </c>
      <c r="G47" s="117">
        <f t="shared" si="12"/>
        <v>881.08060534625884</v>
      </c>
      <c r="H47" s="21">
        <f t="shared" ref="H47:H59" si="13">(E47*(I64/I$69+J64/J$69+K64/K$69)/(789270*((I64/I$69)^2+(J64/J$69)^2+(K64/K$69)^2)))</f>
        <v>1.2302081746805777</v>
      </c>
      <c r="I47" s="118">
        <f t="shared" ref="I47:I59" si="14">(E15*(I64/I$73+J64/J$73+K64/K$73)/(E$24*((I64/I$73)^2+(J64/J$73)^2+(K64/K$73)^2)))</f>
        <v>2.1417769226681425</v>
      </c>
      <c r="J47" s="15"/>
      <c r="K47" s="15"/>
      <c r="L47" s="46"/>
      <c r="M47" s="46"/>
      <c r="N47" s="194"/>
      <c r="O47" s="79"/>
      <c r="P47" s="79"/>
      <c r="Q47" s="79"/>
      <c r="R47" s="84"/>
      <c r="S47" s="79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</row>
    <row r="48" spans="2:40" x14ac:dyDescent="0.3">
      <c r="B48" s="3" t="s">
        <v>3</v>
      </c>
      <c r="C48" s="1">
        <f t="shared" si="12"/>
        <v>72.695485914664971</v>
      </c>
      <c r="D48" s="1">
        <f t="shared" si="12"/>
        <v>361.35477062791443</v>
      </c>
      <c r="E48" s="231">
        <f t="shared" si="12"/>
        <v>682.50963534735388</v>
      </c>
      <c r="F48" s="1">
        <f t="shared" si="12"/>
        <v>1049.363475762683</v>
      </c>
      <c r="G48" s="1">
        <f t="shared" si="12"/>
        <v>1404.2043905346777</v>
      </c>
      <c r="H48" s="22">
        <f t="shared" si="13"/>
        <v>1.5216773891543294</v>
      </c>
      <c r="I48" s="119">
        <f t="shared" si="14"/>
        <v>2.6492534952754219</v>
      </c>
      <c r="J48" s="15"/>
      <c r="K48" s="15"/>
      <c r="L48" s="46"/>
      <c r="M48" s="46"/>
      <c r="N48" s="194"/>
      <c r="O48" s="79"/>
      <c r="P48" s="79"/>
      <c r="Q48" s="79"/>
      <c r="R48" s="84"/>
      <c r="S48" s="79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</row>
    <row r="49" spans="2:40" x14ac:dyDescent="0.3">
      <c r="B49" s="3" t="s">
        <v>4</v>
      </c>
      <c r="C49" s="1">
        <f t="shared" si="12"/>
        <v>65.665222002310259</v>
      </c>
      <c r="D49" s="1">
        <f t="shared" si="12"/>
        <v>326.4087300101412</v>
      </c>
      <c r="E49" s="231">
        <f t="shared" si="12"/>
        <v>616.50522257199452</v>
      </c>
      <c r="F49" s="1">
        <f t="shared" si="12"/>
        <v>947.88121614538704</v>
      </c>
      <c r="G49" s="1">
        <f t="shared" si="12"/>
        <v>1268.4060348577605</v>
      </c>
      <c r="H49" s="22">
        <f t="shared" si="13"/>
        <v>1.0895780157554771</v>
      </c>
      <c r="I49" s="119">
        <f t="shared" si="14"/>
        <v>1.8969356431636932</v>
      </c>
      <c r="J49" s="15"/>
      <c r="K49" s="15"/>
      <c r="L49" s="46"/>
      <c r="M49" s="46"/>
      <c r="N49" s="194"/>
      <c r="O49" s="79"/>
      <c r="P49" s="79"/>
      <c r="Q49" s="79"/>
      <c r="R49" s="84"/>
      <c r="S49" s="79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</row>
    <row r="50" spans="2:40" x14ac:dyDescent="0.3">
      <c r="B50" s="3" t="s">
        <v>45</v>
      </c>
      <c r="C50" s="1">
        <f t="shared" si="12"/>
        <v>58.898678855194184</v>
      </c>
      <c r="D50" s="1">
        <f t="shared" si="12"/>
        <v>292.77359275085837</v>
      </c>
      <c r="E50" s="231">
        <f t="shared" si="12"/>
        <v>552.97678146188844</v>
      </c>
      <c r="F50" s="1">
        <f t="shared" si="12"/>
        <v>850.20578078078893</v>
      </c>
      <c r="G50" s="1">
        <f t="shared" si="12"/>
        <v>1137.7017761768793</v>
      </c>
      <c r="H50" s="22">
        <f t="shared" si="13"/>
        <v>0.81319878482909791</v>
      </c>
      <c r="I50" s="119">
        <f t="shared" si="14"/>
        <v>1.4157837234461867</v>
      </c>
      <c r="J50" s="15"/>
      <c r="K50" s="15"/>
      <c r="L50" s="46"/>
      <c r="M50" s="46"/>
      <c r="N50" s="194"/>
      <c r="O50" s="79"/>
      <c r="P50" s="79"/>
      <c r="Q50" s="79"/>
      <c r="R50" s="84"/>
      <c r="S50" s="79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</row>
    <row r="51" spans="2:40" x14ac:dyDescent="0.3">
      <c r="B51" s="3" t="s">
        <v>5</v>
      </c>
      <c r="C51" s="1">
        <f t="shared" si="12"/>
        <v>51.275905865301219</v>
      </c>
      <c r="D51" s="1">
        <f t="shared" si="12"/>
        <v>254.88230760909758</v>
      </c>
      <c r="E51" s="231">
        <f t="shared" si="12"/>
        <v>481.40953147095098</v>
      </c>
      <c r="F51" s="1">
        <f t="shared" si="12"/>
        <v>740.17061891373976</v>
      </c>
      <c r="G51" s="1">
        <f t="shared" si="12"/>
        <v>990.45836531335101</v>
      </c>
      <c r="H51" s="22">
        <f t="shared" si="13"/>
        <v>1.1650189039357717</v>
      </c>
      <c r="I51" s="119">
        <f t="shared" si="14"/>
        <v>2.0282743763630728</v>
      </c>
      <c r="J51" s="15"/>
      <c r="K51" s="15"/>
      <c r="L51" s="46"/>
      <c r="M51" s="46"/>
      <c r="N51" s="194"/>
      <c r="O51" s="79"/>
      <c r="P51" s="79"/>
      <c r="Q51" s="79"/>
      <c r="R51" s="84"/>
      <c r="S51" s="79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</row>
    <row r="52" spans="2:40" x14ac:dyDescent="0.3">
      <c r="B52" s="3" t="s">
        <v>6</v>
      </c>
      <c r="C52" s="8">
        <v>789270</v>
      </c>
      <c r="D52" s="8">
        <v>789270</v>
      </c>
      <c r="E52" s="232">
        <v>789270</v>
      </c>
      <c r="F52" s="8">
        <v>789270</v>
      </c>
      <c r="G52" s="8">
        <v>789270</v>
      </c>
      <c r="H52" s="22">
        <f t="shared" si="13"/>
        <v>1</v>
      </c>
      <c r="I52" s="119">
        <f t="shared" si="14"/>
        <v>0</v>
      </c>
      <c r="J52" s="15"/>
      <c r="K52" s="15"/>
      <c r="L52" s="46"/>
      <c r="M52" s="46"/>
      <c r="N52" s="194"/>
      <c r="O52" s="79"/>
      <c r="P52" s="79"/>
      <c r="Q52" s="79"/>
      <c r="R52" s="84"/>
      <c r="S52" s="79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</row>
    <row r="53" spans="2:40" x14ac:dyDescent="0.3">
      <c r="B53" s="3" t="s">
        <v>14</v>
      </c>
      <c r="C53" s="1">
        <f t="shared" ref="C53:G59" si="15">C37/$C$11*100</f>
        <v>53.031009348285743</v>
      </c>
      <c r="D53" s="1">
        <f t="shared" si="15"/>
        <v>263.60657719120906</v>
      </c>
      <c r="E53" s="231">
        <f t="shared" si="15"/>
        <v>497.88751525628231</v>
      </c>
      <c r="F53" s="1">
        <f t="shared" si="15"/>
        <v>765.50563756111217</v>
      </c>
      <c r="G53" s="1">
        <f t="shared" si="15"/>
        <v>1024.3603880543862</v>
      </c>
      <c r="H53" s="22">
        <f t="shared" si="13"/>
        <v>0.6327132282352852</v>
      </c>
      <c r="I53" s="119">
        <f t="shared" si="14"/>
        <v>1.10155359187011</v>
      </c>
      <c r="J53" s="15" t="s">
        <v>78</v>
      </c>
      <c r="K53" s="15"/>
      <c r="L53" s="46"/>
      <c r="M53" s="46"/>
      <c r="N53" s="194"/>
      <c r="O53" s="79"/>
      <c r="P53" s="79"/>
      <c r="Q53" s="79"/>
      <c r="R53" s="84"/>
      <c r="S53" s="79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</row>
    <row r="54" spans="2:40" x14ac:dyDescent="0.3">
      <c r="B54" s="3" t="s">
        <v>15</v>
      </c>
      <c r="C54" s="1">
        <f t="shared" si="15"/>
        <v>51.558132224988221</v>
      </c>
      <c r="D54" s="1">
        <f t="shared" si="15"/>
        <v>256.28519858900745</v>
      </c>
      <c r="E54" s="231">
        <f t="shared" si="15"/>
        <v>484.0592449629483</v>
      </c>
      <c r="F54" s="1">
        <f t="shared" si="15"/>
        <v>744.24457247532189</v>
      </c>
      <c r="G54" s="1">
        <f t="shared" si="15"/>
        <v>995.90992105179589</v>
      </c>
      <c r="H54" s="22">
        <f t="shared" si="13"/>
        <v>0.64793912003878062</v>
      </c>
      <c r="I54" s="119">
        <f t="shared" si="14"/>
        <v>1.1280604216078631</v>
      </c>
      <c r="J54" s="15"/>
      <c r="K54" s="15"/>
      <c r="L54" s="46"/>
      <c r="M54" s="46"/>
      <c r="N54" s="194"/>
      <c r="O54" s="79"/>
      <c r="P54" s="79"/>
      <c r="Q54" s="79"/>
      <c r="R54" s="84"/>
      <c r="S54" s="79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</row>
    <row r="55" spans="2:40" x14ac:dyDescent="0.3">
      <c r="B55" s="3" t="s">
        <v>1</v>
      </c>
      <c r="C55" s="1">
        <f t="shared" si="15"/>
        <v>50.525537613261548</v>
      </c>
      <c r="D55" s="1">
        <f t="shared" si="15"/>
        <v>251.15237659356572</v>
      </c>
      <c r="E55" s="231">
        <f t="shared" si="15"/>
        <v>474.3646158804973</v>
      </c>
      <c r="F55" s="1">
        <f t="shared" si="15"/>
        <v>729.33901049741166</v>
      </c>
      <c r="G55" s="1">
        <f t="shared" si="15"/>
        <v>975.96406238966154</v>
      </c>
      <c r="H55" s="22">
        <f t="shared" si="13"/>
        <v>0.54680966304789236</v>
      </c>
      <c r="I55" s="119">
        <f t="shared" si="14"/>
        <v>0.95200354867256987</v>
      </c>
      <c r="J55" s="15"/>
      <c r="K55" s="15"/>
      <c r="L55" s="46"/>
      <c r="M55" s="46"/>
      <c r="N55" s="194"/>
      <c r="O55" s="79"/>
      <c r="P55" s="79"/>
      <c r="Q55" s="79"/>
      <c r="R55" s="84"/>
      <c r="S55" s="79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</row>
    <row r="56" spans="2:40" x14ac:dyDescent="0.3">
      <c r="B56" s="2" t="s">
        <v>19</v>
      </c>
      <c r="C56" s="1">
        <f t="shared" si="15"/>
        <v>542.76435000000004</v>
      </c>
      <c r="D56" s="1">
        <f t="shared" si="15"/>
        <v>540.39419999999996</v>
      </c>
      <c r="E56" s="231">
        <f t="shared" si="15"/>
        <v>535.65390000000002</v>
      </c>
      <c r="F56" s="1">
        <f t="shared" si="15"/>
        <v>540.39419999999996</v>
      </c>
      <c r="G56" s="1">
        <f t="shared" si="15"/>
        <v>535.65390000000002</v>
      </c>
      <c r="H56" s="22">
        <f t="shared" si="13"/>
        <v>0.57438059624524462</v>
      </c>
      <c r="I56" s="119">
        <f t="shared" si="14"/>
        <v>1</v>
      </c>
      <c r="J56" s="15"/>
      <c r="K56" s="15"/>
      <c r="L56" s="46"/>
      <c r="M56" s="46"/>
      <c r="N56" s="194"/>
      <c r="O56" s="79"/>
      <c r="P56" s="79"/>
      <c r="Q56" s="79"/>
      <c r="R56" s="84"/>
      <c r="S56" s="79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</row>
    <row r="57" spans="2:40" x14ac:dyDescent="0.3">
      <c r="B57" s="3" t="s">
        <v>16</v>
      </c>
      <c r="C57" s="1">
        <f t="shared" si="15"/>
        <v>52.912210038587595</v>
      </c>
      <c r="D57" s="1">
        <f t="shared" si="15"/>
        <v>263.01604950208787</v>
      </c>
      <c r="E57" s="231">
        <f t="shared" si="15"/>
        <v>496.77215475595114</v>
      </c>
      <c r="F57" s="1">
        <f t="shared" si="15"/>
        <v>763.79076276559306</v>
      </c>
      <c r="G57" s="1">
        <f t="shared" si="15"/>
        <v>1022.0656305440441</v>
      </c>
      <c r="H57" s="22">
        <f t="shared" si="13"/>
        <v>0.58930020680378992</v>
      </c>
      <c r="I57" s="119">
        <f t="shared" si="14"/>
        <v>1.025965464600042</v>
      </c>
      <c r="J57" s="15"/>
      <c r="K57" s="15"/>
      <c r="L57" s="46"/>
      <c r="M57" s="46"/>
      <c r="N57" s="194"/>
      <c r="O57" s="79"/>
      <c r="P57" s="79"/>
      <c r="Q57" s="79"/>
      <c r="R57" s="84"/>
      <c r="S57" s="79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</row>
    <row r="58" spans="2:40" x14ac:dyDescent="0.3">
      <c r="B58" s="3" t="s">
        <v>17</v>
      </c>
      <c r="C58" s="1">
        <f t="shared" si="15"/>
        <v>54.7484820943302</v>
      </c>
      <c r="D58" s="1">
        <f t="shared" si="15"/>
        <v>272.14379188064805</v>
      </c>
      <c r="E58" s="231">
        <f t="shared" si="15"/>
        <v>514.01219869258034</v>
      </c>
      <c r="F58" s="1">
        <f t="shared" si="15"/>
        <v>790.2974543794561</v>
      </c>
      <c r="G58" s="1">
        <f t="shared" si="15"/>
        <v>1057.5355259639157</v>
      </c>
      <c r="H58" s="22">
        <f t="shared" si="13"/>
        <v>0.5437738529316366</v>
      </c>
      <c r="I58" s="119">
        <f t="shared" si="14"/>
        <v>0.94669655959380083</v>
      </c>
      <c r="J58" s="34"/>
      <c r="K58" s="34"/>
      <c r="M58" s="46"/>
      <c r="N58" s="194"/>
      <c r="O58" s="79"/>
      <c r="P58" s="79"/>
      <c r="Q58" s="79"/>
      <c r="R58" s="84"/>
      <c r="S58" s="79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</row>
    <row r="59" spans="2:40" x14ac:dyDescent="0.3">
      <c r="B59" s="4" t="s">
        <v>18</v>
      </c>
      <c r="C59" s="37">
        <f t="shared" si="15"/>
        <v>52.479422113571708</v>
      </c>
      <c r="D59" s="37">
        <f t="shared" si="15"/>
        <v>260.86474699125199</v>
      </c>
      <c r="E59" s="233">
        <f t="shared" si="15"/>
        <v>492.70887730249166</v>
      </c>
      <c r="F59" s="37">
        <f t="shared" si="15"/>
        <v>757.54344444109756</v>
      </c>
      <c r="G59" s="37">
        <f t="shared" si="15"/>
        <v>1013.7057895328551</v>
      </c>
      <c r="H59" s="23">
        <f t="shared" si="13"/>
        <v>0.55129155278721331</v>
      </c>
      <c r="I59" s="120">
        <f t="shared" si="14"/>
        <v>0.95978193731226513</v>
      </c>
      <c r="J59" s="34"/>
      <c r="K59" s="34"/>
      <c r="M59" s="46"/>
      <c r="N59" s="194"/>
      <c r="O59" s="79"/>
      <c r="P59" s="79"/>
      <c r="Q59" s="79"/>
      <c r="R59" s="84"/>
      <c r="S59" s="79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</row>
    <row r="60" spans="2:40" x14ac:dyDescent="0.3">
      <c r="I60" s="15"/>
      <c r="J60" s="47"/>
      <c r="K60" s="47"/>
      <c r="L60" s="47"/>
      <c r="M60" s="47"/>
      <c r="N60" s="47"/>
      <c r="O60" s="47"/>
      <c r="P60" s="47"/>
      <c r="Q60" s="111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</row>
    <row r="61" spans="2:40" ht="18.5" customHeight="1" x14ac:dyDescent="0.35">
      <c r="B61" s="339" t="s">
        <v>0</v>
      </c>
      <c r="C61" s="333" t="s">
        <v>75</v>
      </c>
      <c r="D61" s="324"/>
      <c r="E61" s="324"/>
      <c r="F61" s="334"/>
      <c r="G61" s="334"/>
      <c r="H61" s="334"/>
      <c r="I61" s="334"/>
      <c r="J61" s="334"/>
      <c r="K61" s="334"/>
      <c r="L61" s="334"/>
      <c r="M61" s="334"/>
      <c r="N61" s="334"/>
      <c r="O61" s="334"/>
      <c r="P61" s="334"/>
      <c r="Q61" s="335"/>
      <c r="S61" s="349"/>
      <c r="T61" s="350"/>
      <c r="U61" s="350"/>
      <c r="V61" s="349"/>
      <c r="W61" s="350"/>
      <c r="X61" s="350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</row>
    <row r="62" spans="2:40" ht="14.5" customHeight="1" x14ac:dyDescent="0.3">
      <c r="B62" s="340"/>
      <c r="C62" s="323">
        <v>0.1</v>
      </c>
      <c r="D62" s="324"/>
      <c r="E62" s="325"/>
      <c r="F62" s="323">
        <v>0.5</v>
      </c>
      <c r="G62" s="324"/>
      <c r="H62" s="325"/>
      <c r="I62" s="326">
        <v>1</v>
      </c>
      <c r="J62" s="327"/>
      <c r="K62" s="328"/>
      <c r="L62" s="323">
        <v>1.5</v>
      </c>
      <c r="M62" s="324"/>
      <c r="N62" s="325"/>
      <c r="O62" s="326">
        <v>2</v>
      </c>
      <c r="P62" s="327"/>
      <c r="Q62" s="328"/>
      <c r="S62" s="351"/>
      <c r="T62" s="352"/>
      <c r="U62" s="352"/>
      <c r="V62" s="352"/>
      <c r="W62" s="352"/>
      <c r="X62" s="352"/>
    </row>
    <row r="63" spans="2:40" ht="13" customHeight="1" x14ac:dyDescent="0.3">
      <c r="B63" s="341"/>
      <c r="C63" s="9" t="s">
        <v>21</v>
      </c>
      <c r="D63" s="9" t="s">
        <v>8</v>
      </c>
      <c r="E63" s="9" t="s">
        <v>22</v>
      </c>
      <c r="F63" s="9" t="s">
        <v>21</v>
      </c>
      <c r="G63" s="9" t="s">
        <v>8</v>
      </c>
      <c r="H63" s="9" t="s">
        <v>22</v>
      </c>
      <c r="I63" s="9" t="s">
        <v>21</v>
      </c>
      <c r="J63" s="9" t="s">
        <v>8</v>
      </c>
      <c r="K63" s="9" t="s">
        <v>22</v>
      </c>
      <c r="L63" s="9" t="s">
        <v>21</v>
      </c>
      <c r="M63" s="9" t="s">
        <v>8</v>
      </c>
      <c r="N63" s="9" t="s">
        <v>22</v>
      </c>
      <c r="O63" s="9" t="s">
        <v>21</v>
      </c>
      <c r="P63" s="9" t="s">
        <v>8</v>
      </c>
      <c r="Q63" s="9" t="s">
        <v>22</v>
      </c>
      <c r="S63" s="15"/>
      <c r="T63" s="15"/>
      <c r="U63" s="15"/>
      <c r="V63" s="15"/>
      <c r="W63" s="15"/>
      <c r="X63" s="15"/>
    </row>
    <row r="64" spans="2:40" x14ac:dyDescent="0.3">
      <c r="B64" s="3" t="s">
        <v>9</v>
      </c>
      <c r="C64" s="51">
        <v>7.8047313956504299E-2</v>
      </c>
      <c r="D64" s="51">
        <v>7.9774215294324394E-2</v>
      </c>
      <c r="E64" s="223">
        <v>8.1084699435056098E-2</v>
      </c>
      <c r="F64" s="55">
        <v>0.39765392921359499</v>
      </c>
      <c r="G64" s="56">
        <v>0.40581852471332402</v>
      </c>
      <c r="H64" s="226">
        <v>0.40149067644424402</v>
      </c>
      <c r="I64" s="55">
        <v>0.75682521273271497</v>
      </c>
      <c r="J64" s="56">
        <v>0.76896423565106697</v>
      </c>
      <c r="K64" s="56">
        <v>0.76108464428293998</v>
      </c>
      <c r="L64" s="65">
        <v>1.1766744214109299</v>
      </c>
      <c r="M64" s="56">
        <v>1.19515736304127</v>
      </c>
      <c r="N64" s="191">
        <v>1.1955302009075299</v>
      </c>
      <c r="O64" s="65">
        <v>1.1766744214109299</v>
      </c>
      <c r="P64" s="56">
        <v>1.19515736304127</v>
      </c>
      <c r="Q64" s="191">
        <v>1.1955302009075299</v>
      </c>
      <c r="S64" s="79"/>
      <c r="T64" s="79"/>
      <c r="U64" s="79"/>
      <c r="V64" s="106"/>
      <c r="W64" s="106"/>
      <c r="X64" s="106"/>
    </row>
    <row r="65" spans="2:24" x14ac:dyDescent="0.3">
      <c r="B65" s="3" t="s">
        <v>10</v>
      </c>
      <c r="C65" s="51">
        <v>0.100163507755109</v>
      </c>
      <c r="D65" s="51">
        <v>9.9945136619561004E-2</v>
      </c>
      <c r="E65" s="223">
        <v>0.10135527252396</v>
      </c>
      <c r="F65" s="57">
        <v>0.50732750066109</v>
      </c>
      <c r="G65" s="58">
        <v>0.50766687842928504</v>
      </c>
      <c r="H65" s="227">
        <v>0.501986918374978</v>
      </c>
      <c r="I65" s="57">
        <v>0.98385890883614202</v>
      </c>
      <c r="J65" s="58">
        <v>0.99150835446268504</v>
      </c>
      <c r="K65" s="58">
        <v>0.97130547093606601</v>
      </c>
      <c r="L65" s="66">
        <v>1.5151785372538999</v>
      </c>
      <c r="M65" s="58">
        <v>1.5253688835858199</v>
      </c>
      <c r="N65" s="98">
        <v>1.5208299638260601</v>
      </c>
      <c r="O65" s="66">
        <v>1.5151785372538999</v>
      </c>
      <c r="P65" s="58">
        <v>1.5253688835858199</v>
      </c>
      <c r="Q65" s="98">
        <v>1.5208299638260601</v>
      </c>
      <c r="S65" s="79"/>
      <c r="T65" s="79"/>
      <c r="U65" s="79"/>
      <c r="V65" s="106"/>
      <c r="W65" s="106"/>
      <c r="X65" s="106"/>
    </row>
    <row r="66" spans="2:24" x14ac:dyDescent="0.3">
      <c r="B66" s="3" t="s">
        <v>11</v>
      </c>
      <c r="C66" s="51">
        <v>0.124711202542252</v>
      </c>
      <c r="D66" s="51">
        <v>0.12855262061465</v>
      </c>
      <c r="E66" s="223">
        <v>0.12594253988476301</v>
      </c>
      <c r="F66" s="57">
        <v>0.64350741851454496</v>
      </c>
      <c r="G66" s="58">
        <v>0.64413591910065005</v>
      </c>
      <c r="H66" s="227">
        <v>0.63902734348422197</v>
      </c>
      <c r="I66" s="57">
        <v>1.24430270389595</v>
      </c>
      <c r="J66" s="58">
        <v>1.2454008199948201</v>
      </c>
      <c r="K66" s="58">
        <v>1.2275061626572401</v>
      </c>
      <c r="L66" s="66">
        <v>1.9123663283260901</v>
      </c>
      <c r="M66" s="58">
        <v>1.92323188732835</v>
      </c>
      <c r="N66" s="98">
        <v>1.91467491893952</v>
      </c>
      <c r="O66" s="66">
        <v>1.9123663283260901</v>
      </c>
      <c r="P66" s="58">
        <v>1.92323188732835</v>
      </c>
      <c r="Q66" s="98">
        <v>1.91467491893952</v>
      </c>
      <c r="S66" s="79"/>
      <c r="T66" s="79"/>
      <c r="U66" s="79"/>
      <c r="V66" s="106"/>
      <c r="W66" s="106"/>
      <c r="X66" s="106"/>
    </row>
    <row r="67" spans="2:24" x14ac:dyDescent="0.3">
      <c r="B67" s="3" t="s">
        <v>12</v>
      </c>
      <c r="C67" s="51">
        <v>0.15214371836506399</v>
      </c>
      <c r="D67" s="51">
        <v>0.15575454506560099</v>
      </c>
      <c r="E67" s="223">
        <v>0.15602316062062399</v>
      </c>
      <c r="F67" s="57">
        <v>0.78318173447378003</v>
      </c>
      <c r="G67" s="58">
        <v>0.77438941153024599</v>
      </c>
      <c r="H67" s="227">
        <v>0.77665490692855199</v>
      </c>
      <c r="I67" s="57">
        <v>1.4915026279157999</v>
      </c>
      <c r="J67" s="58">
        <v>1.50263330482723</v>
      </c>
      <c r="K67" s="58">
        <v>1.4732736019891299</v>
      </c>
      <c r="L67" s="66">
        <v>2.2913467757843899</v>
      </c>
      <c r="M67" s="58">
        <v>2.3307679271750601</v>
      </c>
      <c r="N67" s="98">
        <v>2.2950021011490702</v>
      </c>
      <c r="O67" s="66">
        <v>2.2913467757843899</v>
      </c>
      <c r="P67" s="58">
        <v>2.3307679271750601</v>
      </c>
      <c r="Q67" s="98">
        <v>2.2950021011490702</v>
      </c>
      <c r="S67" s="79"/>
      <c r="T67" s="79"/>
      <c r="U67" s="79"/>
      <c r="V67" s="106"/>
      <c r="W67" s="106"/>
      <c r="X67" s="106"/>
    </row>
    <row r="68" spans="2:24" x14ac:dyDescent="0.3">
      <c r="B68" s="3" t="s">
        <v>13</v>
      </c>
      <c r="C68" s="51">
        <v>0.10535402330025199</v>
      </c>
      <c r="D68" s="51">
        <v>0.10589968594296401</v>
      </c>
      <c r="E68" s="223">
        <v>0.104823049644177</v>
      </c>
      <c r="F68" s="57">
        <v>0.48239794922732598</v>
      </c>
      <c r="G68" s="58">
        <v>0.48074801218602797</v>
      </c>
      <c r="H68" s="227">
        <v>0.48391953934043502</v>
      </c>
      <c r="I68" s="57">
        <v>0.90515780128765699</v>
      </c>
      <c r="J68" s="58">
        <v>0.91015296911940602</v>
      </c>
      <c r="K68" s="58">
        <v>0.89938665996828004</v>
      </c>
      <c r="L68" s="66">
        <v>1.3961241587650399</v>
      </c>
      <c r="M68" s="58">
        <v>1.41179270503266</v>
      </c>
      <c r="N68" s="98">
        <v>1.4063001058689599</v>
      </c>
      <c r="O68" s="66">
        <v>1.3961241587650399</v>
      </c>
      <c r="P68" s="58">
        <v>1.41179270503266</v>
      </c>
      <c r="Q68" s="98">
        <v>1.4063001058689599</v>
      </c>
      <c r="S68" s="79"/>
      <c r="T68" s="79"/>
      <c r="U68" s="79"/>
      <c r="V68" s="106"/>
      <c r="W68" s="106"/>
      <c r="X68" s="106"/>
    </row>
    <row r="69" spans="2:24" x14ac:dyDescent="0.3">
      <c r="B69" s="3" t="s">
        <v>20</v>
      </c>
      <c r="C69" s="52">
        <v>1740.13938435163</v>
      </c>
      <c r="D69" s="52">
        <v>1737.4559512523799</v>
      </c>
      <c r="E69" s="224">
        <v>1735.9341310294899</v>
      </c>
      <c r="F69" s="59">
        <v>1736.71941959633</v>
      </c>
      <c r="G69" s="60">
        <v>1734.30899261113</v>
      </c>
      <c r="H69" s="228">
        <v>1722.8491910545399</v>
      </c>
      <c r="I69" s="59">
        <v>1728.1722774011801</v>
      </c>
      <c r="J69" s="60">
        <v>1740.96322702713</v>
      </c>
      <c r="K69" s="60">
        <v>1716.0989716316401</v>
      </c>
      <c r="L69" s="59">
        <v>1737.6024470769801</v>
      </c>
      <c r="M69" s="60">
        <v>1753.3459690463701</v>
      </c>
      <c r="N69" s="60">
        <v>1747.99672784574</v>
      </c>
      <c r="O69" s="59">
        <v>1737.6024470769801</v>
      </c>
      <c r="P69" s="60">
        <v>1753.3459690463701</v>
      </c>
      <c r="Q69" s="60">
        <v>1747.99672784574</v>
      </c>
      <c r="S69" s="81"/>
      <c r="T69" s="81"/>
      <c r="U69" s="81"/>
      <c r="V69" s="106"/>
      <c r="W69" s="106"/>
      <c r="X69" s="106"/>
    </row>
    <row r="70" spans="2:24" x14ac:dyDescent="0.3">
      <c r="B70" s="3" t="s">
        <v>14</v>
      </c>
      <c r="C70" s="51">
        <v>0.18355057969567401</v>
      </c>
      <c r="D70" s="51">
        <v>0.179686290080909</v>
      </c>
      <c r="E70" s="223">
        <v>0.183419221282276</v>
      </c>
      <c r="F70" s="57">
        <v>0.916948413308594</v>
      </c>
      <c r="G70" s="58">
        <v>0.91624073635865899</v>
      </c>
      <c r="H70" s="227">
        <v>0.90033602110772004</v>
      </c>
      <c r="I70" s="57">
        <v>1.71808189615075</v>
      </c>
      <c r="J70" s="58">
        <v>1.7394340807915301</v>
      </c>
      <c r="K70" s="58">
        <v>1.7122009121060899</v>
      </c>
      <c r="L70" s="66">
        <v>2.67302698692531</v>
      </c>
      <c r="M70" s="58">
        <v>2.7039915185151999</v>
      </c>
      <c r="N70" s="98">
        <v>2.68806975750703</v>
      </c>
      <c r="O70" s="66">
        <v>2.67302698692531</v>
      </c>
      <c r="P70" s="58">
        <v>2.7039915185151999</v>
      </c>
      <c r="Q70" s="98">
        <v>2.68806975750703</v>
      </c>
      <c r="S70" s="79"/>
      <c r="T70" s="79"/>
      <c r="U70" s="79"/>
      <c r="V70" s="106"/>
      <c r="W70" s="106"/>
      <c r="X70" s="106"/>
    </row>
    <row r="71" spans="2:24" x14ac:dyDescent="0.3">
      <c r="B71" s="3" t="s">
        <v>15</v>
      </c>
      <c r="C71" s="51">
        <v>0.17370271703437201</v>
      </c>
      <c r="D71" s="51">
        <v>0.17317066641196199</v>
      </c>
      <c r="E71" s="223">
        <v>0.179193885432295</v>
      </c>
      <c r="F71" s="57">
        <v>0.86878459924437701</v>
      </c>
      <c r="G71" s="58">
        <v>0.86425140072273099</v>
      </c>
      <c r="H71" s="227">
        <v>0.86073451802813195</v>
      </c>
      <c r="I71" s="57">
        <v>1.63969668186981</v>
      </c>
      <c r="J71" s="58">
        <v>1.6487250852542401</v>
      </c>
      <c r="K71" s="58">
        <v>1.6196230087910399</v>
      </c>
      <c r="L71" s="66">
        <v>2.53131791146191</v>
      </c>
      <c r="M71" s="58">
        <v>2.5525072111748299</v>
      </c>
      <c r="N71" s="98">
        <v>2.55318857429861</v>
      </c>
      <c r="O71" s="66">
        <v>2.53131791146191</v>
      </c>
      <c r="P71" s="58">
        <v>2.5525072111748299</v>
      </c>
      <c r="Q71" s="98">
        <v>2.55318857429861</v>
      </c>
      <c r="S71" s="79"/>
      <c r="T71" s="79"/>
      <c r="U71" s="79"/>
      <c r="V71" s="106"/>
      <c r="W71" s="106"/>
      <c r="X71" s="106"/>
    </row>
    <row r="72" spans="2:24" x14ac:dyDescent="0.3">
      <c r="B72" s="3" t="s">
        <v>1</v>
      </c>
      <c r="C72" s="51">
        <v>0.20140077401546599</v>
      </c>
      <c r="D72" s="51">
        <v>0.19828394470612301</v>
      </c>
      <c r="E72" s="223">
        <v>0.19840479960041499</v>
      </c>
      <c r="F72" s="57">
        <v>1.0009663515604501</v>
      </c>
      <c r="G72" s="58">
        <v>1.00494637657996</v>
      </c>
      <c r="H72" s="227">
        <v>0.99736316385192503</v>
      </c>
      <c r="I72" s="57">
        <v>1.8938571586303099</v>
      </c>
      <c r="J72" s="58">
        <v>1.92152970961629</v>
      </c>
      <c r="K72" s="58">
        <v>1.8839012382573701</v>
      </c>
      <c r="L72" s="66">
        <v>2.9433607469387399</v>
      </c>
      <c r="M72" s="58">
        <v>2.9695105304245399</v>
      </c>
      <c r="N72" s="98">
        <v>2.9687325654254901</v>
      </c>
      <c r="O72" s="66">
        <v>2.9433607469387399</v>
      </c>
      <c r="P72" s="58">
        <v>2.9695105304245399</v>
      </c>
      <c r="Q72" s="98">
        <v>2.9687325654254901</v>
      </c>
      <c r="S72" s="79"/>
      <c r="T72" s="79"/>
      <c r="U72" s="79"/>
      <c r="V72" s="106"/>
      <c r="W72" s="106"/>
      <c r="X72" s="106"/>
    </row>
    <row r="73" spans="2:24" x14ac:dyDescent="0.3">
      <c r="B73" s="2" t="s">
        <v>19</v>
      </c>
      <c r="C73" s="51">
        <v>2.0775563430324402</v>
      </c>
      <c r="D73" s="51">
        <v>2.0785015017339599</v>
      </c>
      <c r="E73" s="223">
        <v>2.0762633313567598</v>
      </c>
      <c r="F73" s="57">
        <v>2.0793065281248402</v>
      </c>
      <c r="G73" s="58">
        <v>2.0765695071524002</v>
      </c>
      <c r="H73" s="227">
        <v>2.05341715152875</v>
      </c>
      <c r="I73" s="57">
        <v>2.0405197870428502</v>
      </c>
      <c r="J73" s="58">
        <v>2.0620610998437501</v>
      </c>
      <c r="K73" s="58">
        <v>2.0241712410064201</v>
      </c>
      <c r="L73" s="66">
        <v>2.06883848738764</v>
      </c>
      <c r="M73" s="58">
        <v>2.0819464249228399</v>
      </c>
      <c r="N73" s="98">
        <v>2.0806327674178302</v>
      </c>
      <c r="O73" s="66">
        <v>2.06883848738764</v>
      </c>
      <c r="P73" s="58">
        <v>2.0819464249228399</v>
      </c>
      <c r="Q73" s="98">
        <v>2.0806327674178302</v>
      </c>
      <c r="S73" s="79"/>
      <c r="T73" s="79"/>
      <c r="U73" s="79"/>
      <c r="V73" s="106"/>
      <c r="W73" s="106"/>
      <c r="X73" s="106"/>
    </row>
    <row r="74" spans="2:24" x14ac:dyDescent="0.3">
      <c r="B74" s="3" t="s">
        <v>16</v>
      </c>
      <c r="C74" s="51">
        <v>0.197633125264494</v>
      </c>
      <c r="D74" s="51">
        <v>0.19504620659080599</v>
      </c>
      <c r="E74" s="223">
        <v>0.193668529068109</v>
      </c>
      <c r="F74" s="57">
        <v>0.98807258541645804</v>
      </c>
      <c r="G74" s="58">
        <v>0.98105410775022395</v>
      </c>
      <c r="H74" s="227">
        <v>0.97117326956319505</v>
      </c>
      <c r="I74" s="57">
        <v>1.845112779688</v>
      </c>
      <c r="J74" s="58">
        <v>1.8596052633356901</v>
      </c>
      <c r="K74" s="58">
        <v>1.83341297994813</v>
      </c>
      <c r="L74" s="66">
        <v>2.8707619764400598</v>
      </c>
      <c r="M74" s="58">
        <v>2.9035245829998302</v>
      </c>
      <c r="N74" s="98">
        <v>2.8971344109372201</v>
      </c>
      <c r="O74" s="66">
        <v>2.8707619764400598</v>
      </c>
      <c r="P74" s="58">
        <v>2.9035245829998302</v>
      </c>
      <c r="Q74" s="98">
        <v>2.8971344109372201</v>
      </c>
      <c r="S74" s="79"/>
      <c r="T74" s="79"/>
      <c r="U74" s="79"/>
      <c r="V74" s="106"/>
      <c r="W74" s="106"/>
      <c r="X74" s="106"/>
    </row>
    <row r="75" spans="2:24" x14ac:dyDescent="0.3">
      <c r="B75" s="3" t="s">
        <v>17</v>
      </c>
      <c r="C75" s="51">
        <v>0.216767413235846</v>
      </c>
      <c r="D75" s="51">
        <v>0.220840056945353</v>
      </c>
      <c r="E75" s="223">
        <v>0.223712783301525</v>
      </c>
      <c r="F75" s="57">
        <v>1.10719258499938</v>
      </c>
      <c r="G75" s="58">
        <v>1.0945465201375399</v>
      </c>
      <c r="H75" s="227">
        <v>1.09045795893259</v>
      </c>
      <c r="I75" s="57">
        <v>2.0689324876863102</v>
      </c>
      <c r="J75" s="58">
        <v>2.0810023636789299</v>
      </c>
      <c r="K75" s="58">
        <v>2.0600724427285102</v>
      </c>
      <c r="L75" s="66">
        <v>3.2466423700789799</v>
      </c>
      <c r="M75" s="58">
        <v>3.2551163752872201</v>
      </c>
      <c r="N75" s="98">
        <v>3.2518716856474001</v>
      </c>
      <c r="O75" s="66">
        <v>3.2466423700789799</v>
      </c>
      <c r="P75" s="58">
        <v>3.2551163752872201</v>
      </c>
      <c r="Q75" s="98">
        <v>3.2518716856474001</v>
      </c>
      <c r="S75" s="79"/>
      <c r="T75" s="79"/>
      <c r="U75" s="79"/>
      <c r="V75" s="106"/>
      <c r="W75" s="106"/>
      <c r="X75" s="106"/>
    </row>
    <row r="76" spans="2:24" x14ac:dyDescent="0.3">
      <c r="B76" s="4" t="s">
        <v>18</v>
      </c>
      <c r="C76" s="53">
        <v>0.20281427125565599</v>
      </c>
      <c r="D76" s="53">
        <v>0.21493817030055701</v>
      </c>
      <c r="E76" s="225">
        <v>0.211416908103779</v>
      </c>
      <c r="F76" s="61">
        <v>1.05707700463022</v>
      </c>
      <c r="G76" s="62">
        <v>1.0329503133606801</v>
      </c>
      <c r="H76" s="229">
        <v>1.03876467887223</v>
      </c>
      <c r="I76" s="61">
        <v>1.9608349179300599</v>
      </c>
      <c r="J76" s="62">
        <v>1.96500498602281</v>
      </c>
      <c r="K76" s="62">
        <v>1.94560289760491</v>
      </c>
      <c r="L76" s="67">
        <v>3.0621684261766902</v>
      </c>
      <c r="M76" s="62">
        <v>3.08753131277712</v>
      </c>
      <c r="N76" s="99">
        <v>3.08367782044078</v>
      </c>
      <c r="O76" s="67">
        <v>3.0621684261766902</v>
      </c>
      <c r="P76" s="62">
        <v>3.08753131277712</v>
      </c>
      <c r="Q76" s="99">
        <v>3.08367782044078</v>
      </c>
      <c r="S76" s="79"/>
      <c r="T76" s="79"/>
      <c r="U76" s="79"/>
      <c r="V76" s="106"/>
      <c r="W76" s="106"/>
      <c r="X76" s="106"/>
    </row>
    <row r="77" spans="2:24" x14ac:dyDescent="0.3">
      <c r="B77" s="35"/>
      <c r="C77" s="245"/>
      <c r="D77" s="245"/>
      <c r="E77" s="245"/>
      <c r="F77" s="246"/>
      <c r="G77" s="246"/>
      <c r="H77" s="247"/>
      <c r="I77" s="246"/>
      <c r="J77" s="246"/>
      <c r="K77" s="246"/>
      <c r="L77" s="248"/>
      <c r="M77" s="246"/>
      <c r="N77" s="248"/>
      <c r="O77" s="248"/>
      <c r="P77" s="246"/>
      <c r="Q77" s="248"/>
      <c r="S77" s="79"/>
      <c r="T77" s="79"/>
      <c r="U77" s="79"/>
      <c r="V77" s="106"/>
      <c r="W77" s="106"/>
      <c r="X77" s="106"/>
    </row>
    <row r="78" spans="2:24" x14ac:dyDescent="0.3">
      <c r="B78" s="35"/>
      <c r="C78" s="245"/>
      <c r="D78" s="245"/>
      <c r="E78" s="245"/>
      <c r="F78" s="246"/>
      <c r="G78" s="246"/>
      <c r="H78" s="247"/>
      <c r="I78" s="246"/>
      <c r="J78" s="246"/>
      <c r="K78" s="246"/>
      <c r="L78" s="248"/>
      <c r="M78" s="246"/>
      <c r="N78" s="248"/>
      <c r="O78" s="248"/>
      <c r="P78" s="246"/>
      <c r="Q78" s="248"/>
      <c r="S78" s="79"/>
      <c r="T78" s="79"/>
      <c r="U78" s="79"/>
      <c r="V78" s="106"/>
      <c r="W78" s="106"/>
      <c r="X78" s="106"/>
    </row>
    <row r="79" spans="2:24" x14ac:dyDescent="0.3">
      <c r="B79" s="35"/>
      <c r="C79" s="245"/>
      <c r="D79" s="245"/>
      <c r="E79" s="245"/>
      <c r="F79" s="246"/>
      <c r="G79" s="246"/>
      <c r="H79" s="247"/>
      <c r="I79" s="246"/>
      <c r="J79" s="246"/>
      <c r="K79" s="246"/>
      <c r="L79" s="248"/>
      <c r="M79" s="246"/>
      <c r="N79" s="248"/>
      <c r="O79" s="248"/>
      <c r="P79" s="246"/>
      <c r="Q79" s="248"/>
      <c r="S79" s="79"/>
      <c r="T79" s="79"/>
      <c r="U79" s="79"/>
      <c r="V79" s="106"/>
      <c r="W79" s="106"/>
      <c r="X79" s="106"/>
    </row>
    <row r="80" spans="2:24" x14ac:dyDescent="0.3">
      <c r="F80" s="46"/>
      <c r="G80" s="46"/>
      <c r="H80" s="46"/>
      <c r="Q80" s="30"/>
      <c r="S80" s="46"/>
      <c r="T80" s="46"/>
      <c r="U80" s="46"/>
      <c r="V80" s="46"/>
      <c r="W80" s="46"/>
      <c r="X80" s="46"/>
    </row>
    <row r="81" spans="2:17" x14ac:dyDescent="0.3">
      <c r="B81" s="35"/>
      <c r="C81" s="74"/>
      <c r="D81" s="74"/>
      <c r="E81" s="74"/>
      <c r="F81" s="6"/>
      <c r="G81" s="79"/>
      <c r="H81" s="79"/>
      <c r="I81" s="46"/>
      <c r="J81" s="92"/>
      <c r="K81" s="6"/>
      <c r="L81" s="79"/>
      <c r="M81" s="79"/>
      <c r="N81" s="46"/>
      <c r="O81" s="92"/>
      <c r="P81" s="6"/>
      <c r="Q81" s="84"/>
    </row>
    <row r="82" spans="2:17" x14ac:dyDescent="0.3">
      <c r="B82" s="30" t="s">
        <v>23</v>
      </c>
      <c r="D82" s="91" t="s">
        <v>79</v>
      </c>
      <c r="E82" s="28"/>
    </row>
    <row r="83" spans="2:17" x14ac:dyDescent="0.3">
      <c r="B83" s="30" t="s">
        <v>26</v>
      </c>
      <c r="D83" s="31">
        <v>36.200000000000003</v>
      </c>
      <c r="E83" s="29"/>
      <c r="F83" s="195" t="e">
        <f>40*(C94+D94)/(#REF!+#REF!)</f>
        <v>#REF!</v>
      </c>
      <c r="G83" s="83"/>
      <c r="J83" s="36"/>
    </row>
    <row r="84" spans="2:17" x14ac:dyDescent="0.3">
      <c r="B84" s="30" t="s">
        <v>72</v>
      </c>
      <c r="D84" s="114">
        <v>948060</v>
      </c>
      <c r="E84" s="29"/>
      <c r="J84" s="34"/>
    </row>
    <row r="85" spans="2:17" x14ac:dyDescent="0.3">
      <c r="B85" s="30" t="s">
        <v>31</v>
      </c>
      <c r="D85" s="213" t="s">
        <v>86</v>
      </c>
      <c r="E85" s="252">
        <v>19.7</v>
      </c>
      <c r="F85" s="249" t="s">
        <v>84</v>
      </c>
      <c r="G85" s="250">
        <f>E85*D84/1000000</f>
        <v>18.676781999999999</v>
      </c>
      <c r="I85" s="249" t="s">
        <v>85</v>
      </c>
      <c r="J85" s="251">
        <f>G85/D83*100</f>
        <v>51.593320441988944</v>
      </c>
    </row>
    <row r="86" spans="2:17" ht="14.5" customHeight="1" x14ac:dyDescent="0.35">
      <c r="B86" s="339" t="s">
        <v>0</v>
      </c>
      <c r="C86" s="356" t="s">
        <v>75</v>
      </c>
      <c r="D86" s="357"/>
      <c r="E86" s="357"/>
      <c r="F86" s="237"/>
      <c r="G86" s="323" t="s">
        <v>36</v>
      </c>
      <c r="H86" s="324"/>
      <c r="I86" s="324"/>
      <c r="J86" s="324"/>
      <c r="K86" s="324"/>
      <c r="L86" s="323" t="s">
        <v>37</v>
      </c>
      <c r="M86" s="334"/>
      <c r="N86" s="334"/>
      <c r="O86" s="334"/>
      <c r="P86" s="335"/>
      <c r="Q86" s="353" t="s">
        <v>32</v>
      </c>
    </row>
    <row r="87" spans="2:17" ht="14.5" customHeight="1" x14ac:dyDescent="0.35">
      <c r="B87" s="340"/>
      <c r="C87" s="33"/>
      <c r="D87" s="72"/>
      <c r="E87" s="72"/>
      <c r="F87" s="206"/>
      <c r="G87" s="323" t="s">
        <v>25</v>
      </c>
      <c r="H87" s="324"/>
      <c r="I87" s="324"/>
      <c r="J87" s="335"/>
      <c r="K87" s="213"/>
      <c r="L87" s="323" t="s">
        <v>25</v>
      </c>
      <c r="M87" s="324"/>
      <c r="N87" s="324"/>
      <c r="O87" s="335"/>
      <c r="P87" s="9"/>
      <c r="Q87" s="354"/>
    </row>
    <row r="88" spans="2:17" x14ac:dyDescent="0.3">
      <c r="B88" s="341"/>
      <c r="C88" s="9" t="s">
        <v>21</v>
      </c>
      <c r="D88" s="9" t="s">
        <v>8</v>
      </c>
      <c r="E88" s="9" t="s">
        <v>22</v>
      </c>
      <c r="F88" s="116"/>
      <c r="G88" s="212" t="s">
        <v>21</v>
      </c>
      <c r="H88" s="212" t="s">
        <v>8</v>
      </c>
      <c r="I88" s="212" t="s">
        <v>22</v>
      </c>
      <c r="J88" s="212" t="s">
        <v>30</v>
      </c>
      <c r="K88" s="240" t="s">
        <v>83</v>
      </c>
      <c r="L88" s="9" t="s">
        <v>21</v>
      </c>
      <c r="M88" s="9" t="s">
        <v>8</v>
      </c>
      <c r="N88" s="9" t="s">
        <v>22</v>
      </c>
      <c r="O88" s="9" t="s">
        <v>30</v>
      </c>
      <c r="P88" s="9" t="s">
        <v>83</v>
      </c>
      <c r="Q88" s="355"/>
    </row>
    <row r="89" spans="2:17" x14ac:dyDescent="0.3">
      <c r="B89" s="3" t="s">
        <v>9</v>
      </c>
      <c r="C89" s="58">
        <v>0.156008635776413</v>
      </c>
      <c r="D89" s="58">
        <v>0.15320948517521299</v>
      </c>
      <c r="E89" s="73"/>
      <c r="F89" s="203"/>
      <c r="G89" s="127">
        <f t="shared" ref="G89:G101" si="16">H47*789270*C89/C$94</f>
        <v>101.72613512988603</v>
      </c>
      <c r="H89" s="125">
        <f t="shared" ref="H89:H101" si="17">H47*789270*D89/D$94</f>
        <v>100.49525617530786</v>
      </c>
      <c r="I89" s="89"/>
      <c r="J89" s="125">
        <f>IF(I89=0,AVERAGE(G89:H89),AVERAGE(G89:I89))</f>
        <v>101.11069565259695</v>
      </c>
      <c r="K89" s="93">
        <f t="shared" ref="K89:K101" si="18">IF(J89=0,"",IF(I89=0,STDEV(G89,H89)/AVERAGE(G89,H89)*100,STDEV(G89,I89)/AVERAGE(G89,I89)*100))</f>
        <v>0.86080196559272737</v>
      </c>
      <c r="L89" s="13">
        <f t="shared" ref="L89:L101" si="19">I47*C89/C$98*E$85*D$84/1000/D$83</f>
        <v>100.76883029738173</v>
      </c>
      <c r="M89" s="12">
        <f t="shared" ref="M89:M101" si="20">I47*D89/D$98*E$85*D$84/1000/D$83</f>
        <v>99.210184822075746</v>
      </c>
      <c r="N89" s="46"/>
      <c r="O89" s="12">
        <f>IF(N89=0,AVERAGE(L89:M89),AVERAGE(L89:N89))</f>
        <v>99.989507559728736</v>
      </c>
      <c r="P89" s="7">
        <f>IF(O89=0,"",IF(N89=0,STDEV(L89,M89)/AVERAGE(L89,M89)*100,STDEV(L89,N89)/AVERAGE(L89,N89)*100))</f>
        <v>1.1022444373938245</v>
      </c>
      <c r="Q89" s="121">
        <f>(J89-O89)/((J89+O89)/2)*100</f>
        <v>1.115054162013388</v>
      </c>
    </row>
    <row r="90" spans="2:17" x14ac:dyDescent="0.3">
      <c r="B90" s="3" t="s">
        <v>10</v>
      </c>
      <c r="C90" s="58">
        <v>0.28691227066546199</v>
      </c>
      <c r="D90" s="58">
        <v>0.28077031736114999</v>
      </c>
      <c r="E90" s="74"/>
      <c r="F90" s="102"/>
      <c r="G90" s="13">
        <f t="shared" si="16"/>
        <v>231.40727432334123</v>
      </c>
      <c r="H90" s="12">
        <f t="shared" si="17"/>
        <v>227.80071355165776</v>
      </c>
      <c r="I90" s="80"/>
      <c r="J90" s="12">
        <f t="shared" ref="J90:J101" si="21">IF(I90=0,AVERAGE(G90:H90),AVERAGE(G90:I90))</f>
        <v>229.6039939374995</v>
      </c>
      <c r="K90" s="6">
        <f t="shared" si="18"/>
        <v>1.1107052341227828</v>
      </c>
      <c r="L90" s="13">
        <f t="shared" si="19"/>
        <v>229.23238976415399</v>
      </c>
      <c r="M90" s="12">
        <f t="shared" si="20"/>
        <v>224.89048422242578</v>
      </c>
      <c r="N90" s="46"/>
      <c r="O90" s="12">
        <f t="shared" ref="O90:O101" si="22">IF(N90=0,AVERAGE(L90:M90),AVERAGE(L90:N90))</f>
        <v>227.06143699328987</v>
      </c>
      <c r="P90" s="7">
        <f t="shared" ref="P90:P101" si="23">IF(O90=0,"",IF(N90=0,STDEV(L90,M90)/AVERAGE(L90,M90)*100,STDEV(L90,N90)/AVERAGE(L90,N90)*100))</f>
        <v>1.3521410295303455</v>
      </c>
      <c r="Q90" s="88">
        <f t="shared" ref="Q90:Q101" si="24">(J90-O90)/((J90+O90)/2)*100</f>
        <v>1.1135316019114059</v>
      </c>
    </row>
    <row r="91" spans="2:17" x14ac:dyDescent="0.3">
      <c r="B91" s="3" t="s">
        <v>11</v>
      </c>
      <c r="C91" s="58">
        <v>0.254999292887018</v>
      </c>
      <c r="D91" s="58">
        <v>0.25620235587634499</v>
      </c>
      <c r="E91" s="74"/>
      <c r="F91" s="102"/>
      <c r="G91" s="13">
        <f t="shared" si="16"/>
        <v>147.26603875583302</v>
      </c>
      <c r="H91" s="12">
        <f t="shared" si="17"/>
        <v>148.84105877493246</v>
      </c>
      <c r="I91" s="80"/>
      <c r="J91" s="12">
        <f t="shared" si="21"/>
        <v>148.05354876538274</v>
      </c>
      <c r="K91" s="6">
        <f t="shared" si="18"/>
        <v>0.75223278691863571</v>
      </c>
      <c r="L91" s="13">
        <f t="shared" si="19"/>
        <v>145.87971847276663</v>
      </c>
      <c r="M91" s="12">
        <f t="shared" si="20"/>
        <v>146.93731055535744</v>
      </c>
      <c r="N91" s="46"/>
      <c r="O91" s="12">
        <f t="shared" si="22"/>
        <v>146.40851451406203</v>
      </c>
      <c r="P91" s="7">
        <f t="shared" si="23"/>
        <v>0.5107834990411998</v>
      </c>
      <c r="Q91" s="88">
        <f t="shared" si="24"/>
        <v>1.1173148982248147</v>
      </c>
    </row>
    <row r="92" spans="2:17" x14ac:dyDescent="0.3">
      <c r="B92" s="3" t="s">
        <v>12</v>
      </c>
      <c r="C92" s="58">
        <v>0.112162597835629</v>
      </c>
      <c r="D92" s="58">
        <v>0.110163306443187</v>
      </c>
      <c r="E92" s="74"/>
      <c r="F92" s="102"/>
      <c r="G92" s="13">
        <f t="shared" si="16"/>
        <v>48.344834468143816</v>
      </c>
      <c r="H92" s="12">
        <f t="shared" si="17"/>
        <v>47.765572034175044</v>
      </c>
      <c r="I92" s="80"/>
      <c r="J92" s="12">
        <f t="shared" si="21"/>
        <v>48.055203251159426</v>
      </c>
      <c r="K92" s="6">
        <f t="shared" si="18"/>
        <v>0.85235389184637556</v>
      </c>
      <c r="L92" s="13">
        <f t="shared" si="19"/>
        <v>47.890383868261281</v>
      </c>
      <c r="M92" s="12">
        <f t="shared" si="20"/>
        <v>47.155271338169747</v>
      </c>
      <c r="N92" s="46"/>
      <c r="O92" s="12">
        <f t="shared" si="22"/>
        <v>47.522827603215518</v>
      </c>
      <c r="P92" s="7">
        <f t="shared" si="23"/>
        <v>1.0937965629969217</v>
      </c>
      <c r="Q92" s="88">
        <f t="shared" si="24"/>
        <v>1.1140125888449179</v>
      </c>
    </row>
    <row r="93" spans="2:17" x14ac:dyDescent="0.3">
      <c r="B93" s="3" t="s">
        <v>13</v>
      </c>
      <c r="C93" s="58">
        <v>0.14601899405867999</v>
      </c>
      <c r="D93" s="58">
        <v>0.139726869590097</v>
      </c>
      <c r="E93" s="236"/>
      <c r="F93" s="102"/>
      <c r="G93" s="13">
        <f t="shared" si="16"/>
        <v>90.167000280872088</v>
      </c>
      <c r="H93" s="12">
        <f t="shared" si="17"/>
        <v>86.794898883528447</v>
      </c>
      <c r="I93" s="80"/>
      <c r="J93" s="12">
        <f t="shared" si="21"/>
        <v>88.480949582200267</v>
      </c>
      <c r="K93" s="6">
        <f t="shared" si="18"/>
        <v>2.6948577927445738</v>
      </c>
      <c r="L93" s="13">
        <f t="shared" si="19"/>
        <v>89.318084315438128</v>
      </c>
      <c r="M93" s="12">
        <f t="shared" si="20"/>
        <v>85.684645473558973</v>
      </c>
      <c r="N93" s="46"/>
      <c r="O93" s="12">
        <f t="shared" si="22"/>
        <v>87.50136489449855</v>
      </c>
      <c r="P93" s="7">
        <f t="shared" si="23"/>
        <v>2.9362161918469463</v>
      </c>
      <c r="Q93" s="88">
        <f t="shared" si="24"/>
        <v>1.113276286443454</v>
      </c>
    </row>
    <row r="94" spans="2:17" x14ac:dyDescent="0.3">
      <c r="B94" s="3" t="s">
        <v>20</v>
      </c>
      <c r="C94" s="60">
        <v>1489.0877766670001</v>
      </c>
      <c r="D94" s="60">
        <v>1480.28144662669</v>
      </c>
      <c r="E94" s="75"/>
      <c r="F94" s="102"/>
      <c r="G94" s="11">
        <f t="shared" si="16"/>
        <v>789269.99999999988</v>
      </c>
      <c r="H94" s="8">
        <f t="shared" si="17"/>
        <v>789270</v>
      </c>
      <c r="I94" s="80"/>
      <c r="J94" s="8">
        <f t="shared" si="21"/>
        <v>789270</v>
      </c>
      <c r="K94" s="6">
        <f t="shared" si="18"/>
        <v>1.4749746199264487E-14</v>
      </c>
      <c r="L94" s="13">
        <f t="shared" si="19"/>
        <v>0</v>
      </c>
      <c r="M94" s="12">
        <f t="shared" si="20"/>
        <v>0</v>
      </c>
      <c r="N94" s="46"/>
      <c r="O94" s="12">
        <f t="shared" si="22"/>
        <v>0</v>
      </c>
      <c r="P94" s="7" t="str">
        <f t="shared" si="23"/>
        <v/>
      </c>
      <c r="Q94" s="88"/>
    </row>
    <row r="95" spans="2:17" x14ac:dyDescent="0.3">
      <c r="B95" s="3" t="s">
        <v>14</v>
      </c>
      <c r="C95" s="57">
        <v>0</v>
      </c>
      <c r="D95" s="58">
        <v>0</v>
      </c>
      <c r="E95" s="74"/>
      <c r="F95" s="102"/>
      <c r="G95" s="13">
        <f t="shared" si="16"/>
        <v>0</v>
      </c>
      <c r="H95" s="12">
        <f t="shared" si="17"/>
        <v>0</v>
      </c>
      <c r="I95" s="80"/>
      <c r="J95" s="12">
        <f t="shared" si="21"/>
        <v>0</v>
      </c>
      <c r="K95" s="6" t="str">
        <f t="shared" si="18"/>
        <v/>
      </c>
      <c r="L95" s="13">
        <f t="shared" si="19"/>
        <v>0</v>
      </c>
      <c r="M95" s="12">
        <f t="shared" si="20"/>
        <v>0</v>
      </c>
      <c r="N95" s="46"/>
      <c r="O95" s="12">
        <f t="shared" si="22"/>
        <v>0</v>
      </c>
      <c r="P95" s="7" t="str">
        <f t="shared" si="23"/>
        <v/>
      </c>
      <c r="Q95" s="88"/>
    </row>
    <row r="96" spans="2:17" x14ac:dyDescent="0.3">
      <c r="B96" s="3" t="s">
        <v>15</v>
      </c>
      <c r="C96" s="58">
        <v>1.1741876342786299</v>
      </c>
      <c r="D96" s="58">
        <v>1.16336867707338</v>
      </c>
      <c r="E96" s="74"/>
      <c r="F96" s="102"/>
      <c r="G96" s="13">
        <f t="shared" si="16"/>
        <v>403.25243740566174</v>
      </c>
      <c r="H96" s="12">
        <f t="shared" si="17"/>
        <v>401.91375355915523</v>
      </c>
      <c r="I96" s="80"/>
      <c r="J96" s="12">
        <f t="shared" si="21"/>
        <v>402.58309548240845</v>
      </c>
      <c r="K96" s="6">
        <f t="shared" si="18"/>
        <v>0.23512970026606825</v>
      </c>
      <c r="L96" s="13">
        <f t="shared" si="19"/>
        <v>399.4599174617444</v>
      </c>
      <c r="M96" s="12">
        <f t="shared" si="20"/>
        <v>396.77664358450329</v>
      </c>
      <c r="N96" s="46"/>
      <c r="O96" s="12">
        <f t="shared" si="22"/>
        <v>398.11828052312387</v>
      </c>
      <c r="P96" s="7">
        <f t="shared" si="23"/>
        <v>0.47658227396259978</v>
      </c>
      <c r="Q96" s="88">
        <f t="shared" si="24"/>
        <v>1.1152259988756987</v>
      </c>
    </row>
    <row r="97" spans="2:17" x14ac:dyDescent="0.3">
      <c r="B97" s="3" t="s">
        <v>1</v>
      </c>
      <c r="C97" s="58">
        <v>1.4638055493058699</v>
      </c>
      <c r="D97" s="58">
        <v>1.46802258280714</v>
      </c>
      <c r="E97" s="74"/>
      <c r="F97" s="102"/>
      <c r="G97" s="13">
        <f t="shared" si="16"/>
        <v>424.25294616618066</v>
      </c>
      <c r="H97" s="12">
        <f t="shared" si="17"/>
        <v>428.00635451099311</v>
      </c>
      <c r="I97" s="80"/>
      <c r="J97" s="12">
        <f t="shared" si="21"/>
        <v>426.12965033858688</v>
      </c>
      <c r="K97" s="6">
        <f t="shared" si="18"/>
        <v>0.62282934103980669</v>
      </c>
      <c r="L97" s="13">
        <f t="shared" si="19"/>
        <v>420.26700972249233</v>
      </c>
      <c r="M97" s="12">
        <f t="shared" si="20"/>
        <v>422.53985055162502</v>
      </c>
      <c r="N97" s="46"/>
      <c r="O97" s="12">
        <f t="shared" si="22"/>
        <v>421.40343013705865</v>
      </c>
      <c r="P97" s="7">
        <f t="shared" si="23"/>
        <v>0.38137828216411729</v>
      </c>
      <c r="Q97" s="88">
        <f t="shared" si="24"/>
        <v>1.1152886678773235</v>
      </c>
    </row>
    <row r="98" spans="2:17" x14ac:dyDescent="0.3">
      <c r="B98" s="2" t="s">
        <v>19</v>
      </c>
      <c r="C98" s="58">
        <v>1.71076412972669</v>
      </c>
      <c r="D98" s="58">
        <v>1.70646391236846</v>
      </c>
      <c r="E98" s="74"/>
      <c r="F98" s="102"/>
      <c r="G98" s="13">
        <f t="shared" si="16"/>
        <v>520.82904174052828</v>
      </c>
      <c r="H98" s="12">
        <f t="shared" si="17"/>
        <v>522.61054484584861</v>
      </c>
      <c r="I98" s="85"/>
      <c r="J98" s="12">
        <f t="shared" si="21"/>
        <v>521.71979329318845</v>
      </c>
      <c r="K98" s="6">
        <f t="shared" si="18"/>
        <v>0.24145392654653977</v>
      </c>
      <c r="L98" s="13">
        <f t="shared" si="19"/>
        <v>515.93320441988942</v>
      </c>
      <c r="M98" s="12">
        <f t="shared" si="20"/>
        <v>515.93320441988942</v>
      </c>
      <c r="N98" s="87"/>
      <c r="O98" s="12">
        <f t="shared" si="22"/>
        <v>515.93320441988942</v>
      </c>
      <c r="P98" s="7">
        <f t="shared" si="23"/>
        <v>0</v>
      </c>
      <c r="Q98" s="88">
        <f t="shared" si="24"/>
        <v>1.1153225376984992</v>
      </c>
    </row>
    <row r="99" spans="2:17" x14ac:dyDescent="0.3">
      <c r="B99" s="3" t="s">
        <v>16</v>
      </c>
      <c r="C99" s="57">
        <v>0</v>
      </c>
      <c r="D99" s="58">
        <v>0</v>
      </c>
      <c r="E99" s="74"/>
      <c r="F99" s="102"/>
      <c r="G99" s="13">
        <f t="shared" si="16"/>
        <v>0</v>
      </c>
      <c r="H99" s="12">
        <f t="shared" si="17"/>
        <v>0</v>
      </c>
      <c r="I99" s="80"/>
      <c r="J99" s="12">
        <f t="shared" si="21"/>
        <v>0</v>
      </c>
      <c r="K99" s="6" t="str">
        <f t="shared" si="18"/>
        <v/>
      </c>
      <c r="L99" s="13">
        <f t="shared" si="19"/>
        <v>0</v>
      </c>
      <c r="M99" s="12">
        <f t="shared" si="20"/>
        <v>0</v>
      </c>
      <c r="N99" s="46"/>
      <c r="O99" s="12">
        <f t="shared" si="22"/>
        <v>0</v>
      </c>
      <c r="P99" s="7" t="str">
        <f t="shared" si="23"/>
        <v/>
      </c>
      <c r="Q99" s="88"/>
    </row>
    <row r="100" spans="2:17" x14ac:dyDescent="0.3">
      <c r="B100" s="3" t="s">
        <v>17</v>
      </c>
      <c r="C100" s="58">
        <v>0.437544926644028</v>
      </c>
      <c r="D100" s="58">
        <v>0.44599403467438398</v>
      </c>
      <c r="E100" s="74"/>
      <c r="F100" s="102"/>
      <c r="G100" s="13">
        <f t="shared" si="16"/>
        <v>126.10905475283732</v>
      </c>
      <c r="H100" s="12">
        <f t="shared" si="17"/>
        <v>129.30897544008641</v>
      </c>
      <c r="I100" s="46"/>
      <c r="J100" s="12">
        <f t="shared" si="21"/>
        <v>127.70901509646187</v>
      </c>
      <c r="K100" s="6">
        <f t="shared" si="18"/>
        <v>1.771750894409361</v>
      </c>
      <c r="L100" s="13">
        <f t="shared" si="19"/>
        <v>124.92138621425944</v>
      </c>
      <c r="M100" s="12">
        <f t="shared" si="20"/>
        <v>127.65452660772442</v>
      </c>
      <c r="N100" s="46"/>
      <c r="O100" s="12">
        <f t="shared" si="22"/>
        <v>126.28795641099194</v>
      </c>
      <c r="P100" s="7">
        <f t="shared" si="23"/>
        <v>1.5303297013251393</v>
      </c>
      <c r="Q100" s="241">
        <f t="shared" si="24"/>
        <v>1.118957188375947</v>
      </c>
    </row>
    <row r="101" spans="2:17" x14ac:dyDescent="0.3">
      <c r="B101" s="4" t="s">
        <v>18</v>
      </c>
      <c r="C101" s="62">
        <v>1.2087004483610699</v>
      </c>
      <c r="D101" s="62">
        <v>1.22886453084626</v>
      </c>
      <c r="E101" s="76"/>
      <c r="F101" s="204"/>
      <c r="G101" s="130">
        <f t="shared" si="16"/>
        <v>353.18749476191743</v>
      </c>
      <c r="H101" s="39">
        <f t="shared" si="17"/>
        <v>361.21572383495516</v>
      </c>
      <c r="I101" s="82"/>
      <c r="J101" s="39">
        <f t="shared" si="21"/>
        <v>357.20160929843632</v>
      </c>
      <c r="K101" s="239">
        <f t="shared" si="18"/>
        <v>1.5892468204758488</v>
      </c>
      <c r="L101" s="130">
        <f t="shared" si="19"/>
        <v>349.86024753383145</v>
      </c>
      <c r="M101" s="39">
        <f t="shared" si="20"/>
        <v>356.59311387422781</v>
      </c>
      <c r="N101" s="82"/>
      <c r="O101" s="39">
        <f t="shared" si="22"/>
        <v>353.2266807040296</v>
      </c>
      <c r="P101" s="40">
        <f t="shared" si="23"/>
        <v>1.347818753846078</v>
      </c>
      <c r="Q101" s="242">
        <f t="shared" si="24"/>
        <v>1.119023172456413</v>
      </c>
    </row>
    <row r="102" spans="2:17" x14ac:dyDescent="0.3">
      <c r="B102" s="35"/>
      <c r="C102" s="74"/>
      <c r="D102" s="74"/>
      <c r="E102" s="74"/>
      <c r="F102" s="6"/>
      <c r="G102" s="79"/>
      <c r="H102" s="79"/>
      <c r="I102" s="46"/>
      <c r="J102" s="92"/>
      <c r="K102" s="6"/>
      <c r="L102" s="79"/>
      <c r="M102" s="79"/>
      <c r="N102" s="46"/>
      <c r="O102" s="92"/>
      <c r="P102" s="6"/>
      <c r="Q102" s="84"/>
    </row>
    <row r="104" spans="2:17" x14ac:dyDescent="0.3">
      <c r="B104" s="30" t="s">
        <v>23</v>
      </c>
      <c r="D104" s="91" t="s">
        <v>80</v>
      </c>
      <c r="E104" s="28"/>
    </row>
    <row r="105" spans="2:17" x14ac:dyDescent="0.3">
      <c r="B105" s="30" t="s">
        <v>26</v>
      </c>
      <c r="D105" s="31">
        <v>45</v>
      </c>
      <c r="E105" s="29"/>
      <c r="F105" s="195" t="e">
        <f>40*(C116+D116)/(#REF!+#REF!)</f>
        <v>#REF!</v>
      </c>
      <c r="G105" s="83"/>
      <c r="J105" s="36"/>
    </row>
    <row r="106" spans="2:17" x14ac:dyDescent="0.3">
      <c r="B106" s="30" t="s">
        <v>29</v>
      </c>
      <c r="D106" s="114">
        <v>948060</v>
      </c>
      <c r="E106" s="29"/>
      <c r="J106" s="34"/>
    </row>
    <row r="107" spans="2:17" x14ac:dyDescent="0.3">
      <c r="B107" s="30" t="s">
        <v>31</v>
      </c>
      <c r="D107" s="253" t="s">
        <v>86</v>
      </c>
      <c r="E107" s="252">
        <v>21.02</v>
      </c>
      <c r="F107" s="249" t="s">
        <v>84</v>
      </c>
      <c r="G107" s="250">
        <f>E107*D106/1000000</f>
        <v>19.928221199999999</v>
      </c>
      <c r="I107" s="249" t="s">
        <v>85</v>
      </c>
      <c r="J107" s="251">
        <f>G107/D105*100</f>
        <v>44.284935999999995</v>
      </c>
    </row>
    <row r="108" spans="2:17" ht="14.5" customHeight="1" x14ac:dyDescent="0.35">
      <c r="B108" s="339" t="s">
        <v>0</v>
      </c>
      <c r="C108" s="342" t="s">
        <v>24</v>
      </c>
      <c r="D108" s="343"/>
      <c r="E108" s="343"/>
      <c r="F108" s="343"/>
      <c r="G108" s="323" t="s">
        <v>36</v>
      </c>
      <c r="H108" s="324"/>
      <c r="I108" s="324"/>
      <c r="J108" s="324"/>
      <c r="K108" s="325"/>
      <c r="L108" s="323" t="s">
        <v>37</v>
      </c>
      <c r="M108" s="334"/>
      <c r="N108" s="334"/>
      <c r="O108" s="334"/>
      <c r="P108" s="335"/>
      <c r="Q108" s="336" t="s">
        <v>32</v>
      </c>
    </row>
    <row r="109" spans="2:17" ht="14.5" x14ac:dyDescent="0.35">
      <c r="B109" s="340"/>
      <c r="C109" s="33"/>
      <c r="D109" s="72"/>
      <c r="E109" s="72"/>
      <c r="F109" s="206"/>
      <c r="G109" s="323" t="s">
        <v>25</v>
      </c>
      <c r="H109" s="324"/>
      <c r="I109" s="324"/>
      <c r="J109" s="344"/>
      <c r="K109" s="9"/>
      <c r="L109" s="323" t="s">
        <v>25</v>
      </c>
      <c r="M109" s="324"/>
      <c r="N109" s="324"/>
      <c r="O109" s="344"/>
      <c r="P109" s="9"/>
      <c r="Q109" s="337"/>
    </row>
    <row r="110" spans="2:17" x14ac:dyDescent="0.3">
      <c r="B110" s="341"/>
      <c r="C110" s="9" t="s">
        <v>21</v>
      </c>
      <c r="D110" s="9" t="s">
        <v>8</v>
      </c>
      <c r="E110" s="9" t="s">
        <v>22</v>
      </c>
      <c r="F110" s="116"/>
      <c r="G110" s="9" t="s">
        <v>21</v>
      </c>
      <c r="H110" s="9" t="s">
        <v>8</v>
      </c>
      <c r="I110" s="9" t="s">
        <v>22</v>
      </c>
      <c r="J110" s="9" t="s">
        <v>30</v>
      </c>
      <c r="K110" s="240" t="s">
        <v>83</v>
      </c>
      <c r="L110" s="9" t="s">
        <v>21</v>
      </c>
      <c r="M110" s="9" t="s">
        <v>8</v>
      </c>
      <c r="N110" s="9" t="s">
        <v>22</v>
      </c>
      <c r="O110" s="9" t="s">
        <v>30</v>
      </c>
      <c r="P110" s="240" t="s">
        <v>83</v>
      </c>
      <c r="Q110" s="338"/>
    </row>
    <row r="111" spans="2:17" x14ac:dyDescent="0.3">
      <c r="B111" s="3" t="s">
        <v>9</v>
      </c>
      <c r="C111" s="68">
        <v>0.24231985901146999</v>
      </c>
      <c r="D111" s="68">
        <v>0.25395542182458702</v>
      </c>
      <c r="E111" s="73"/>
      <c r="F111" s="101"/>
      <c r="G111" s="127">
        <f t="shared" ref="G111:G123" si="25">H47*789270*C111/C$116</f>
        <v>113.58649686631644</v>
      </c>
      <c r="H111" s="125">
        <f t="shared" ref="H111:H123" si="26">H47*789270*D111/D$116</f>
        <v>118.87293304156252</v>
      </c>
      <c r="I111" s="89"/>
      <c r="J111" s="125">
        <f>IF(I111=0,AVERAGE(G111:H111),AVERAGE(G111:I111))</f>
        <v>116.22971495393948</v>
      </c>
      <c r="K111" s="54">
        <f t="shared" ref="K111" si="27">IF(J111=0,"",IF(I111=0,STDEV(G111,H111)/AVERAGE(G111,H111)*100,STDEV(G111,I111)/AVERAGE(G111,I111)*100))</f>
        <v>3.2161094684846612</v>
      </c>
      <c r="L111" s="127">
        <f t="shared" ref="L111:L123" si="28">I47*C111/C$120*E$107*D$106/1000/D$105</f>
        <v>113.17698165199248</v>
      </c>
      <c r="M111" s="125">
        <f t="shared" ref="M111:M123" si="29">I47*D111/D$120*E$107*D$106/1000/D$105</f>
        <v>114.97960304702069</v>
      </c>
      <c r="N111" s="95"/>
      <c r="O111" s="125">
        <f>IF(N111=0,AVERAGE(L111:M111),AVERAGE(L111:N111))</f>
        <v>114.07829234950658</v>
      </c>
      <c r="P111" s="54">
        <f>IF(O111=0,"",IF(N111=0,STDEV(L111,M111)/AVERAGE(L111,M111)*100,STDEV(L111,N111)/AVERAGE(L111,N111)*100))</f>
        <v>1.1173429984656635</v>
      </c>
      <c r="Q111" s="121">
        <f>(J111-O111)/((J111+O111)/2)*100</f>
        <v>1.868300307594823</v>
      </c>
    </row>
    <row r="112" spans="2:17" x14ac:dyDescent="0.3">
      <c r="B112" s="3" t="s">
        <v>10</v>
      </c>
      <c r="C112" s="68">
        <v>3.9741451413297199E-2</v>
      </c>
      <c r="D112" s="68">
        <v>3.8932420072388299E-2</v>
      </c>
      <c r="E112" s="74"/>
      <c r="F112" s="5"/>
      <c r="G112" s="13">
        <f t="shared" si="25"/>
        <v>23.042277413825591</v>
      </c>
      <c r="H112" s="12">
        <f t="shared" si="26"/>
        <v>22.541399123357362</v>
      </c>
      <c r="I112" s="80"/>
      <c r="J112" s="12">
        <f t="shared" ref="J112:J123" si="30">IF(I112=0,AVERAGE(G112:H112),AVERAGE(G112:I112))</f>
        <v>22.791838268591476</v>
      </c>
      <c r="K112" s="7">
        <f t="shared" ref="K112:K123" si="31">IF(J112=0,"",IF(I112=0,STDEV(G112,H112)/AVERAGE(G112,H112)*100,STDEV(G112,I112)/AVERAGE(G112,I112)*100))</f>
        <v>1.5539529175550695</v>
      </c>
      <c r="L112" s="13">
        <f t="shared" si="28"/>
        <v>22.959483035420742</v>
      </c>
      <c r="M112" s="12">
        <f t="shared" si="29"/>
        <v>21.803388717452382</v>
      </c>
      <c r="N112" s="46"/>
      <c r="O112" s="12">
        <f t="shared" ref="O112:O123" si="32">IF(N112=0,AVERAGE(L112:M112),AVERAGE(L112:N112))</f>
        <v>22.381435876436562</v>
      </c>
      <c r="P112" s="7">
        <f t="shared" ref="P112:P123" si="33">IF(O112=0,"",IF(N112=0,STDEV(L112,M112)/AVERAGE(L112,M112)*100,STDEV(L112,N112)/AVERAGE(L112,N112)*100))</f>
        <v>3.6525008334577813</v>
      </c>
      <c r="Q112" s="88">
        <f t="shared" ref="Q112:Q123" si="34">(J112-O112)/((J112+O112)/2)*100</f>
        <v>1.817014152382775</v>
      </c>
    </row>
    <row r="113" spans="2:17" x14ac:dyDescent="0.3">
      <c r="B113" s="3" t="s">
        <v>11</v>
      </c>
      <c r="C113" s="68">
        <v>2.2808953575751998</v>
      </c>
      <c r="D113" s="68">
        <v>2.2773726611021901</v>
      </c>
      <c r="E113" s="74"/>
      <c r="F113" s="5"/>
      <c r="G113" s="13">
        <f t="shared" si="25"/>
        <v>946.94069890473838</v>
      </c>
      <c r="H113" s="12">
        <f t="shared" si="26"/>
        <v>944.14634341658711</v>
      </c>
      <c r="I113" s="80"/>
      <c r="J113" s="12">
        <f t="shared" si="30"/>
        <v>945.54352116066275</v>
      </c>
      <c r="K113" s="7">
        <f t="shared" si="31"/>
        <v>0.20897057306174163</v>
      </c>
      <c r="L113" s="13">
        <f t="shared" si="28"/>
        <v>943.52372106801533</v>
      </c>
      <c r="M113" s="12">
        <f t="shared" si="29"/>
        <v>913.22077065286237</v>
      </c>
      <c r="N113" s="46"/>
      <c r="O113" s="12">
        <f t="shared" si="32"/>
        <v>928.37224586043885</v>
      </c>
      <c r="P113" s="7">
        <f t="shared" si="33"/>
        <v>2.3080635837680488</v>
      </c>
      <c r="Q113" s="88">
        <f t="shared" si="34"/>
        <v>1.8326624496596742</v>
      </c>
    </row>
    <row r="114" spans="2:17" x14ac:dyDescent="0.3">
      <c r="B114" s="3" t="s">
        <v>12</v>
      </c>
      <c r="C114" s="68">
        <v>0.37488009152552898</v>
      </c>
      <c r="D114" s="68">
        <v>0.37127212919896802</v>
      </c>
      <c r="E114" s="74"/>
      <c r="F114" s="5"/>
      <c r="G114" s="13">
        <f t="shared" si="25"/>
        <v>116.15774910107305</v>
      </c>
      <c r="H114" s="12">
        <f t="shared" si="26"/>
        <v>114.87775780159656</v>
      </c>
      <c r="I114" s="80"/>
      <c r="J114" s="12">
        <f t="shared" si="30"/>
        <v>115.51775345133481</v>
      </c>
      <c r="K114" s="7">
        <f t="shared" si="31"/>
        <v>0.78350772991867801</v>
      </c>
      <c r="L114" s="13">
        <f t="shared" si="28"/>
        <v>115.74018106397705</v>
      </c>
      <c r="M114" s="12">
        <f t="shared" si="29"/>
        <v>111.11644663223659</v>
      </c>
      <c r="N114" s="46"/>
      <c r="O114" s="12">
        <f t="shared" si="32"/>
        <v>113.42831384810682</v>
      </c>
      <c r="P114" s="7">
        <f t="shared" si="33"/>
        <v>2.8824143286372017</v>
      </c>
      <c r="Q114" s="88">
        <f t="shared" si="34"/>
        <v>1.825267957536201</v>
      </c>
    </row>
    <row r="115" spans="2:17" x14ac:dyDescent="0.3">
      <c r="B115" s="3" t="s">
        <v>13</v>
      </c>
      <c r="C115" s="68">
        <v>11.7341064218777</v>
      </c>
      <c r="D115" s="68">
        <v>11.718047120974701</v>
      </c>
      <c r="E115" s="74"/>
      <c r="F115" s="5"/>
      <c r="G115" s="13">
        <f t="shared" si="25"/>
        <v>5208.8527989547956</v>
      </c>
      <c r="H115" s="12">
        <f t="shared" si="26"/>
        <v>5194.3964516119113</v>
      </c>
      <c r="I115" s="80"/>
      <c r="J115" s="12">
        <f t="shared" si="30"/>
        <v>5201.6246252833535</v>
      </c>
      <c r="K115" s="7">
        <f t="shared" si="31"/>
        <v>0.1965190103810075</v>
      </c>
      <c r="L115" s="13">
        <f t="shared" si="28"/>
        <v>5190.0505984538122</v>
      </c>
      <c r="M115" s="12">
        <f t="shared" si="29"/>
        <v>5024.2475008158035</v>
      </c>
      <c r="N115" s="46"/>
      <c r="O115" s="12">
        <f t="shared" si="32"/>
        <v>5107.1490496348079</v>
      </c>
      <c r="P115" s="7">
        <f t="shared" si="33"/>
        <v>2.2956152942110548</v>
      </c>
      <c r="Q115" s="88">
        <f t="shared" si="34"/>
        <v>1.8329158952904383</v>
      </c>
    </row>
    <row r="116" spans="2:17" x14ac:dyDescent="0.3">
      <c r="B116" s="3" t="s">
        <v>20</v>
      </c>
      <c r="C116" s="69">
        <v>2071.4120877502801</v>
      </c>
      <c r="D116" s="69">
        <v>2074.33413908171</v>
      </c>
      <c r="E116" s="75"/>
      <c r="F116" s="5"/>
      <c r="G116" s="11">
        <f t="shared" si="25"/>
        <v>789270</v>
      </c>
      <c r="H116" s="8">
        <f t="shared" si="26"/>
        <v>789270</v>
      </c>
      <c r="I116" s="94"/>
      <c r="J116" s="8">
        <f t="shared" si="30"/>
        <v>789270</v>
      </c>
      <c r="K116" s="7">
        <f t="shared" si="31"/>
        <v>0</v>
      </c>
      <c r="L116" s="13">
        <f t="shared" si="28"/>
        <v>0</v>
      </c>
      <c r="M116" s="12">
        <f t="shared" si="29"/>
        <v>0</v>
      </c>
      <c r="N116" s="46"/>
      <c r="O116" s="12">
        <f t="shared" si="32"/>
        <v>0</v>
      </c>
      <c r="P116" s="7" t="str">
        <f t="shared" si="33"/>
        <v/>
      </c>
      <c r="Q116" s="88"/>
    </row>
    <row r="117" spans="2:17" x14ac:dyDescent="0.3">
      <c r="B117" s="3" t="s">
        <v>14</v>
      </c>
      <c r="C117" s="57">
        <v>0</v>
      </c>
      <c r="D117" s="58">
        <v>0</v>
      </c>
      <c r="E117" s="74"/>
      <c r="F117" s="5"/>
      <c r="G117" s="13">
        <f t="shared" si="25"/>
        <v>0</v>
      </c>
      <c r="H117" s="12">
        <f t="shared" si="26"/>
        <v>0</v>
      </c>
      <c r="I117" s="80"/>
      <c r="J117" s="12">
        <f t="shared" si="30"/>
        <v>0</v>
      </c>
      <c r="K117" s="7" t="str">
        <f t="shared" si="31"/>
        <v/>
      </c>
      <c r="L117" s="13">
        <f t="shared" si="28"/>
        <v>0</v>
      </c>
      <c r="M117" s="12">
        <f t="shared" si="29"/>
        <v>0</v>
      </c>
      <c r="N117" s="46"/>
      <c r="O117" s="12">
        <f t="shared" si="32"/>
        <v>0</v>
      </c>
      <c r="P117" s="7" t="str">
        <f t="shared" si="33"/>
        <v/>
      </c>
      <c r="Q117" s="88"/>
    </row>
    <row r="118" spans="2:17" x14ac:dyDescent="0.3">
      <c r="B118" s="3" t="s">
        <v>15</v>
      </c>
      <c r="C118" s="63">
        <v>1.2172138059840401</v>
      </c>
      <c r="D118" s="63">
        <v>1.2150142359423799</v>
      </c>
      <c r="E118" s="74"/>
      <c r="F118" s="5"/>
      <c r="G118" s="13">
        <f t="shared" si="25"/>
        <v>300.51085267555362</v>
      </c>
      <c r="H118" s="12">
        <f t="shared" si="26"/>
        <v>299.54525806877967</v>
      </c>
      <c r="I118" s="80"/>
      <c r="J118" s="12">
        <f t="shared" si="30"/>
        <v>300.02805537216665</v>
      </c>
      <c r="K118" s="7">
        <f t="shared" si="31"/>
        <v>0.22757154942729302</v>
      </c>
      <c r="L118" s="13">
        <f t="shared" si="28"/>
        <v>299.42916327858819</v>
      </c>
      <c r="M118" s="12">
        <f t="shared" si="29"/>
        <v>289.73623310316708</v>
      </c>
      <c r="N118" s="46"/>
      <c r="O118" s="12">
        <f t="shared" si="32"/>
        <v>294.58269819087764</v>
      </c>
      <c r="P118" s="7">
        <f t="shared" si="33"/>
        <v>2.3266596099160268</v>
      </c>
      <c r="Q118" s="88">
        <f t="shared" si="34"/>
        <v>1.8315703672223151</v>
      </c>
    </row>
    <row r="119" spans="2:17" x14ac:dyDescent="0.3">
      <c r="B119" s="3" t="s">
        <v>1</v>
      </c>
      <c r="C119" s="63">
        <v>0.81848860961065895</v>
      </c>
      <c r="D119" s="63">
        <v>0.81499339480018695</v>
      </c>
      <c r="E119" s="74"/>
      <c r="F119" s="5"/>
      <c r="G119" s="13">
        <f t="shared" si="25"/>
        <v>170.53279498727932</v>
      </c>
      <c r="H119" s="12">
        <f t="shared" si="26"/>
        <v>169.56536550320357</v>
      </c>
      <c r="I119" s="80"/>
      <c r="J119" s="12">
        <f t="shared" si="30"/>
        <v>170.04908024524144</v>
      </c>
      <c r="K119" s="7">
        <f t="shared" si="31"/>
        <v>0.40228147516188023</v>
      </c>
      <c r="L119" s="13">
        <f t="shared" si="28"/>
        <v>169.92061538339738</v>
      </c>
      <c r="M119" s="12">
        <f t="shared" si="29"/>
        <v>164.01430845806107</v>
      </c>
      <c r="N119" s="46"/>
      <c r="O119" s="12">
        <f t="shared" si="32"/>
        <v>166.96746192072922</v>
      </c>
      <c r="P119" s="7">
        <f t="shared" si="33"/>
        <v>2.5013194970030672</v>
      </c>
      <c r="Q119" s="88">
        <f t="shared" si="34"/>
        <v>1.8287638373517074</v>
      </c>
    </row>
    <row r="120" spans="2:17" x14ac:dyDescent="0.3">
      <c r="B120" s="2" t="s">
        <v>19</v>
      </c>
      <c r="C120" s="63">
        <v>2.03077195135642</v>
      </c>
      <c r="D120" s="63">
        <v>2.0949175760832399</v>
      </c>
      <c r="E120" s="74"/>
      <c r="F120" s="5"/>
      <c r="G120" s="13">
        <f t="shared" si="25"/>
        <v>444.44702747716713</v>
      </c>
      <c r="H120" s="12">
        <f t="shared" si="26"/>
        <v>457.83984016174259</v>
      </c>
      <c r="I120" s="80"/>
      <c r="J120" s="12">
        <f t="shared" si="30"/>
        <v>451.14343381945486</v>
      </c>
      <c r="K120" s="7">
        <f t="shared" si="31"/>
        <v>2.0991436333781195</v>
      </c>
      <c r="L120" s="13">
        <f t="shared" si="28"/>
        <v>442.84935999999999</v>
      </c>
      <c r="M120" s="12">
        <f t="shared" si="29"/>
        <v>442.84935999999999</v>
      </c>
      <c r="N120" s="87"/>
      <c r="O120" s="12">
        <f t="shared" si="32"/>
        <v>442.84935999999999</v>
      </c>
      <c r="P120" s="7">
        <f t="shared" si="33"/>
        <v>0</v>
      </c>
      <c r="Q120" s="88">
        <f t="shared" si="34"/>
        <v>1.8555124553117783</v>
      </c>
    </row>
    <row r="121" spans="2:17" x14ac:dyDescent="0.3">
      <c r="B121" s="3" t="s">
        <v>16</v>
      </c>
      <c r="C121" s="63">
        <v>0.24544972114063399</v>
      </c>
      <c r="D121" s="63">
        <v>0.256116370085267</v>
      </c>
      <c r="E121" s="74"/>
      <c r="F121" s="5"/>
      <c r="G121" s="13">
        <f t="shared" si="25"/>
        <v>55.1135297009167</v>
      </c>
      <c r="H121" s="12">
        <f t="shared" si="26"/>
        <v>57.427619234013939</v>
      </c>
      <c r="I121" s="80"/>
      <c r="J121" s="12">
        <f t="shared" si="30"/>
        <v>56.270574467465323</v>
      </c>
      <c r="K121" s="7">
        <f t="shared" si="31"/>
        <v>2.9079290848042687</v>
      </c>
      <c r="L121" s="13">
        <f t="shared" si="28"/>
        <v>54.914894058711617</v>
      </c>
      <c r="M121" s="12">
        <f t="shared" si="29"/>
        <v>55.546814873636706</v>
      </c>
      <c r="N121" s="46"/>
      <c r="O121" s="12">
        <f t="shared" si="32"/>
        <v>55.230854466174165</v>
      </c>
      <c r="P121" s="7">
        <f t="shared" si="33"/>
        <v>0.80903237461249344</v>
      </c>
      <c r="Q121" s="88">
        <f t="shared" si="34"/>
        <v>1.8649447118923503</v>
      </c>
    </row>
    <row r="122" spans="2:17" x14ac:dyDescent="0.3">
      <c r="B122" s="3" t="s">
        <v>17</v>
      </c>
      <c r="C122" s="63">
        <v>0.37173076822614898</v>
      </c>
      <c r="D122" s="63">
        <v>0.35941922203752102</v>
      </c>
      <c r="E122" s="74"/>
      <c r="F122" s="5"/>
      <c r="G122" s="13">
        <f t="shared" si="25"/>
        <v>77.020426568519269</v>
      </c>
      <c r="H122" s="12">
        <f t="shared" si="26"/>
        <v>74.364643701318187</v>
      </c>
      <c r="I122" s="80"/>
      <c r="J122" s="12">
        <f t="shared" si="30"/>
        <v>75.692535134918728</v>
      </c>
      <c r="K122" s="7">
        <f t="shared" si="31"/>
        <v>2.4809871560116483</v>
      </c>
      <c r="L122" s="13">
        <f t="shared" si="28"/>
        <v>76.742187263649697</v>
      </c>
      <c r="M122" s="12">
        <f t="shared" si="29"/>
        <v>71.928529148415677</v>
      </c>
      <c r="N122" s="46"/>
      <c r="O122" s="12">
        <f t="shared" si="32"/>
        <v>74.33535820603268</v>
      </c>
      <c r="P122" s="7">
        <f t="shared" si="33"/>
        <v>4.5789384456338009</v>
      </c>
      <c r="Q122" s="88">
        <f t="shared" si="34"/>
        <v>1.8092328015321064</v>
      </c>
    </row>
    <row r="123" spans="2:17" x14ac:dyDescent="0.3">
      <c r="B123" s="4" t="s">
        <v>18</v>
      </c>
      <c r="C123" s="63">
        <v>1.82760457782421</v>
      </c>
      <c r="D123" s="63">
        <v>1.8096600042108399</v>
      </c>
      <c r="E123" s="76"/>
      <c r="F123" s="128"/>
      <c r="G123" s="130">
        <f t="shared" si="25"/>
        <v>383.90402429034839</v>
      </c>
      <c r="H123" s="39">
        <f t="shared" si="26"/>
        <v>379.59912856759775</v>
      </c>
      <c r="I123" s="244"/>
      <c r="J123" s="39">
        <f t="shared" si="30"/>
        <v>381.75157642897307</v>
      </c>
      <c r="K123" s="40">
        <f t="shared" si="31"/>
        <v>0.79738268177768756</v>
      </c>
      <c r="L123" s="130">
        <f t="shared" si="28"/>
        <v>382.51606074989758</v>
      </c>
      <c r="M123" s="39">
        <f t="shared" si="29"/>
        <v>367.16277316165605</v>
      </c>
      <c r="N123" s="82"/>
      <c r="O123" s="39">
        <f t="shared" si="32"/>
        <v>374.83941695577681</v>
      </c>
      <c r="P123" s="40">
        <f t="shared" si="33"/>
        <v>2.8962839221451642</v>
      </c>
      <c r="Q123" s="242">
        <f t="shared" si="34"/>
        <v>1.8271852384267566</v>
      </c>
    </row>
    <row r="124" spans="2:17" x14ac:dyDescent="0.3">
      <c r="B124" s="35"/>
      <c r="C124" s="205"/>
      <c r="D124" s="205"/>
      <c r="E124" s="74"/>
      <c r="F124" s="6"/>
      <c r="G124" s="79"/>
      <c r="H124" s="79"/>
      <c r="I124" s="46"/>
      <c r="J124" s="92"/>
      <c r="K124" s="6"/>
      <c r="L124" s="79"/>
      <c r="M124" s="79"/>
      <c r="N124" s="46"/>
      <c r="O124" s="92"/>
      <c r="P124" s="6"/>
      <c r="Q124" s="84"/>
    </row>
    <row r="126" spans="2:17" x14ac:dyDescent="0.3">
      <c r="B126" s="30" t="s">
        <v>23</v>
      </c>
      <c r="D126" s="91" t="s">
        <v>81</v>
      </c>
      <c r="E126" s="28"/>
    </row>
    <row r="127" spans="2:17" x14ac:dyDescent="0.3">
      <c r="B127" s="30" t="s">
        <v>26</v>
      </c>
      <c r="D127" s="31">
        <v>40</v>
      </c>
      <c r="E127" s="29"/>
      <c r="F127" s="195" t="e">
        <f>40*(C138+D138)/(#REF!+#REF!)</f>
        <v>#REF!</v>
      </c>
      <c r="G127" s="90"/>
      <c r="J127" s="36"/>
    </row>
    <row r="128" spans="2:17" x14ac:dyDescent="0.3">
      <c r="B128" s="30" t="s">
        <v>29</v>
      </c>
      <c r="D128" s="114">
        <v>948060</v>
      </c>
      <c r="E128" s="29"/>
      <c r="J128" s="34"/>
    </row>
    <row r="129" spans="2:17" x14ac:dyDescent="0.3">
      <c r="B129" s="30" t="s">
        <v>31</v>
      </c>
      <c r="D129" s="253" t="s">
        <v>86</v>
      </c>
      <c r="E129" s="243">
        <v>21.6</v>
      </c>
      <c r="F129" s="249" t="s">
        <v>84</v>
      </c>
      <c r="G129" s="250">
        <f>E129*D128/1000000</f>
        <v>20.478096000000001</v>
      </c>
      <c r="I129" s="249" t="s">
        <v>85</v>
      </c>
      <c r="J129" s="251">
        <f>G129/D127*100</f>
        <v>51.195239999999998</v>
      </c>
    </row>
    <row r="130" spans="2:17" ht="14.5" customHeight="1" x14ac:dyDescent="0.35">
      <c r="B130" s="339" t="s">
        <v>0</v>
      </c>
      <c r="C130" s="342" t="s">
        <v>24</v>
      </c>
      <c r="D130" s="343"/>
      <c r="E130" s="343"/>
      <c r="F130" s="343"/>
      <c r="G130" s="323" t="s">
        <v>36</v>
      </c>
      <c r="H130" s="324"/>
      <c r="I130" s="324"/>
      <c r="J130" s="324"/>
      <c r="K130" s="325"/>
      <c r="L130" s="323" t="s">
        <v>37</v>
      </c>
      <c r="M130" s="334"/>
      <c r="N130" s="334"/>
      <c r="O130" s="334"/>
      <c r="P130" s="335"/>
      <c r="Q130" s="336" t="s">
        <v>32</v>
      </c>
    </row>
    <row r="131" spans="2:17" ht="14.5" x14ac:dyDescent="0.3">
      <c r="B131" s="340"/>
      <c r="C131" s="33"/>
      <c r="D131" s="72"/>
      <c r="E131" s="72"/>
      <c r="F131" s="206"/>
      <c r="G131" s="323" t="s">
        <v>25</v>
      </c>
      <c r="H131" s="324"/>
      <c r="I131" s="325"/>
      <c r="J131" s="46"/>
      <c r="K131" s="9"/>
      <c r="L131" s="323" t="s">
        <v>25</v>
      </c>
      <c r="M131" s="324"/>
      <c r="N131" s="325"/>
      <c r="O131" s="46"/>
      <c r="P131" s="9"/>
      <c r="Q131" s="337"/>
    </row>
    <row r="132" spans="2:17" x14ac:dyDescent="0.3">
      <c r="B132" s="341"/>
      <c r="C132" s="9" t="s">
        <v>21</v>
      </c>
      <c r="D132" s="9" t="s">
        <v>8</v>
      </c>
      <c r="E132" s="9" t="s">
        <v>22</v>
      </c>
      <c r="F132" s="116"/>
      <c r="G132" s="32" t="s">
        <v>21</v>
      </c>
      <c r="H132" s="32" t="s">
        <v>8</v>
      </c>
      <c r="I132" s="32" t="s">
        <v>22</v>
      </c>
      <c r="J132" s="32" t="s">
        <v>30</v>
      </c>
      <c r="K132" s="240" t="s">
        <v>83</v>
      </c>
      <c r="L132" s="103" t="s">
        <v>21</v>
      </c>
      <c r="M132" s="103" t="s">
        <v>8</v>
      </c>
      <c r="N132" s="103" t="s">
        <v>22</v>
      </c>
      <c r="O132" s="212" t="s">
        <v>30</v>
      </c>
      <c r="P132" s="240" t="s">
        <v>83</v>
      </c>
      <c r="Q132" s="338"/>
    </row>
    <row r="133" spans="2:17" x14ac:dyDescent="0.3">
      <c r="B133" s="3" t="s">
        <v>9</v>
      </c>
      <c r="C133" s="55">
        <v>0.101189250116288</v>
      </c>
      <c r="D133" s="56">
        <v>0.10305201215912201</v>
      </c>
      <c r="E133" s="73"/>
      <c r="F133" s="101"/>
      <c r="G133" s="127">
        <f t="shared" ref="G133:G145" si="35">H47*789270*C133/C$138</f>
        <v>55.43496245895485</v>
      </c>
      <c r="H133" s="125">
        <f t="shared" ref="H133:H145" si="36">H47*789270*D133/D$138</f>
        <v>56.609439472297332</v>
      </c>
      <c r="I133" s="89"/>
      <c r="J133" s="125">
        <f>IF(I133=0,AVERAGE(G133:H133),AVERAGE(G133:I133))</f>
        <v>56.022200965626091</v>
      </c>
      <c r="K133" s="54">
        <f t="shared" ref="K133" si="37">IF(J133=0,"",IF(I133=0,STDEV(G133,H133)/AVERAGE(G133,H133)*100,STDEV(G133,I133)/AVERAGE(G133,I133)*100))</f>
        <v>1.4824134828114945</v>
      </c>
      <c r="L133" s="127">
        <f t="shared" ref="L133:L145" si="38">I47*C133/C$142*E$129*D$128/1000/D$127</f>
        <v>55.06236886836507</v>
      </c>
      <c r="M133" s="125">
        <f t="shared" ref="M133:M145" si="39">I47*D133/D$142*E$129*D$128/1000/D$127</f>
        <v>55.317657822693604</v>
      </c>
      <c r="N133" s="95"/>
      <c r="O133" s="125">
        <f>IF(N133=0,AVERAGE(L133:M133),AVERAGE(L133:N133))</f>
        <v>55.190013345529337</v>
      </c>
      <c r="P133" s="54">
        <f>IF(O133=0,"",IF(N133=0,STDEV(L133,M133)/AVERAGE(L133,M133)*100,STDEV(L133,N133)/AVERAGE(L133,N133)*100))</f>
        <v>0.32708191179002927</v>
      </c>
      <c r="Q133" s="121">
        <f>(J133-O133)/((J133+O133)/2)*100</f>
        <v>1.4965759386256172</v>
      </c>
    </row>
    <row r="134" spans="2:17" x14ac:dyDescent="0.3">
      <c r="B134" s="3" t="s">
        <v>10</v>
      </c>
      <c r="C134" s="57">
        <v>0.34488765851488301</v>
      </c>
      <c r="D134" s="58">
        <v>0.35460944110268999</v>
      </c>
      <c r="E134" s="74"/>
      <c r="F134" s="5"/>
      <c r="G134" s="13">
        <f t="shared" si="35"/>
        <v>233.7066191885593</v>
      </c>
      <c r="H134" s="12">
        <f t="shared" si="36"/>
        <v>240.94984512192187</v>
      </c>
      <c r="I134" s="80"/>
      <c r="J134" s="12">
        <f t="shared" ref="J134:J145" si="40">IF(I134=0,AVERAGE(G134:H134),AVERAGE(G134:I134))</f>
        <v>237.32823215524058</v>
      </c>
      <c r="K134" s="7">
        <f t="shared" ref="K134:K145" si="41">IF(J134=0,"",IF(I134=0,STDEV(G134,H134)/AVERAGE(G134,H134)*100,STDEV(G134,I134)/AVERAGE(G134,I134)*100))</f>
        <v>2.1580804477558799</v>
      </c>
      <c r="L134" s="13">
        <f t="shared" si="38"/>
        <v>232.13864707386156</v>
      </c>
      <c r="M134" s="12">
        <f t="shared" si="39"/>
        <v>235.45443909344112</v>
      </c>
      <c r="N134" s="46"/>
      <c r="O134" s="12">
        <f t="shared" ref="O134:O145" si="42">IF(N134=0,AVERAGE(L134:M134),AVERAGE(L134:N134))</f>
        <v>233.79654308365133</v>
      </c>
      <c r="P134" s="7">
        <f t="shared" ref="P134:P145" si="43">IF(O134=0,"",IF(N134=0,STDEV(L134,M134)/AVERAGE(L134,M134)*100,STDEV(L134,N134)/AVERAGE(L134,N134)*100))</f>
        <v>1.0028458894749575</v>
      </c>
      <c r="Q134" s="88">
        <f t="shared" ref="Q134:Q145" si="44">(J134-O134)/((J134+O134)/2)*100</f>
        <v>1.4992584797937878</v>
      </c>
    </row>
    <row r="135" spans="2:17" x14ac:dyDescent="0.3">
      <c r="B135" s="3" t="s">
        <v>11</v>
      </c>
      <c r="C135" s="57">
        <v>0.35876114941422199</v>
      </c>
      <c r="D135" s="58">
        <v>0.35713747120183498</v>
      </c>
      <c r="E135" s="74"/>
      <c r="F135" s="5"/>
      <c r="G135" s="13">
        <f t="shared" si="35"/>
        <v>174.07424107348996</v>
      </c>
      <c r="H135" s="12">
        <f t="shared" si="36"/>
        <v>173.75908507767792</v>
      </c>
      <c r="I135" s="80"/>
      <c r="J135" s="12">
        <f t="shared" si="40"/>
        <v>173.91666307558393</v>
      </c>
      <c r="K135" s="7">
        <f t="shared" si="41"/>
        <v>0.1281354746746946</v>
      </c>
      <c r="L135" s="13">
        <f t="shared" si="38"/>
        <v>172.90369839384329</v>
      </c>
      <c r="M135" s="12">
        <f t="shared" si="39"/>
        <v>169.79351100935972</v>
      </c>
      <c r="N135" s="46"/>
      <c r="O135" s="12">
        <f t="shared" si="42"/>
        <v>171.34860470160152</v>
      </c>
      <c r="P135" s="7">
        <f t="shared" si="43"/>
        <v>1.2834855551692899</v>
      </c>
      <c r="Q135" s="88">
        <f t="shared" si="44"/>
        <v>1.4875856992599028</v>
      </c>
    </row>
    <row r="136" spans="2:17" x14ac:dyDescent="0.3">
      <c r="B136" s="3" t="s">
        <v>12</v>
      </c>
      <c r="C136" s="57">
        <v>7.1625644866023894E-2</v>
      </c>
      <c r="D136" s="58">
        <v>6.8370349531914898E-2</v>
      </c>
      <c r="E136" s="74"/>
      <c r="F136" s="5"/>
      <c r="G136" s="13">
        <f t="shared" si="35"/>
        <v>25.937973234328485</v>
      </c>
      <c r="H136" s="12">
        <f t="shared" si="36"/>
        <v>24.826659687940527</v>
      </c>
      <c r="I136" s="80"/>
      <c r="J136" s="12">
        <f t="shared" si="40"/>
        <v>25.382316461134508</v>
      </c>
      <c r="K136" s="7">
        <f t="shared" si="41"/>
        <v>3.0959244633114644</v>
      </c>
      <c r="L136" s="13">
        <f t="shared" si="38"/>
        <v>25.763907984976889</v>
      </c>
      <c r="M136" s="12">
        <f t="shared" si="39"/>
        <v>24.260390552556316</v>
      </c>
      <c r="N136" s="46"/>
      <c r="O136" s="12">
        <f t="shared" si="42"/>
        <v>25.012149268766603</v>
      </c>
      <c r="P136" s="7">
        <f t="shared" si="43"/>
        <v>4.2505238581170506</v>
      </c>
      <c r="Q136" s="88">
        <f t="shared" si="44"/>
        <v>1.4690787450823977</v>
      </c>
    </row>
    <row r="137" spans="2:17" x14ac:dyDescent="0.3">
      <c r="B137" s="3" t="s">
        <v>13</v>
      </c>
      <c r="C137" s="57">
        <v>0.13682941695660999</v>
      </c>
      <c r="D137" s="58">
        <v>0.13650858556166201</v>
      </c>
      <c r="E137" s="74"/>
      <c r="F137" s="5"/>
      <c r="G137" s="13">
        <f t="shared" si="35"/>
        <v>70.98771883501864</v>
      </c>
      <c r="H137" s="12">
        <f t="shared" si="36"/>
        <v>71.014446945185469</v>
      </c>
      <c r="I137" s="80"/>
      <c r="J137" s="12">
        <f t="shared" si="40"/>
        <v>71.001082890102055</v>
      </c>
      <c r="K137" s="7">
        <f t="shared" si="41"/>
        <v>2.6618788302876013E-2</v>
      </c>
      <c r="L137" s="13">
        <f t="shared" si="38"/>
        <v>70.510283320334949</v>
      </c>
      <c r="M137" s="12">
        <f t="shared" si="39"/>
        <v>69.3936519582779</v>
      </c>
      <c r="N137" s="46"/>
      <c r="O137" s="12">
        <f t="shared" si="42"/>
        <v>69.951967639306417</v>
      </c>
      <c r="P137" s="7">
        <f t="shared" si="43"/>
        <v>1.128742528398075</v>
      </c>
      <c r="Q137" s="88">
        <f t="shared" si="44"/>
        <v>1.4886024060568304</v>
      </c>
    </row>
    <row r="138" spans="2:17" x14ac:dyDescent="0.3">
      <c r="B138" s="3" t="s">
        <v>20</v>
      </c>
      <c r="C138" s="59">
        <v>1772.3717696578999</v>
      </c>
      <c r="D138" s="60">
        <v>1767.5504794440301</v>
      </c>
      <c r="E138" s="75"/>
      <c r="F138" s="5"/>
      <c r="G138" s="11">
        <f t="shared" si="35"/>
        <v>789270</v>
      </c>
      <c r="H138" s="8">
        <f t="shared" si="36"/>
        <v>789270</v>
      </c>
      <c r="I138" s="80"/>
      <c r="J138" s="8">
        <f t="shared" si="40"/>
        <v>789270</v>
      </c>
      <c r="K138" s="7">
        <f t="shared" si="41"/>
        <v>0</v>
      </c>
      <c r="L138" s="13">
        <f t="shared" si="38"/>
        <v>0</v>
      </c>
      <c r="M138" s="12">
        <f t="shared" si="39"/>
        <v>0</v>
      </c>
      <c r="N138" s="46"/>
      <c r="O138" s="12">
        <f t="shared" si="42"/>
        <v>0</v>
      </c>
      <c r="P138" s="7" t="str">
        <f t="shared" si="43"/>
        <v/>
      </c>
      <c r="Q138" s="88"/>
    </row>
    <row r="139" spans="2:17" x14ac:dyDescent="0.3">
      <c r="B139" s="3" t="s">
        <v>14</v>
      </c>
      <c r="C139" s="57">
        <v>0</v>
      </c>
      <c r="D139" s="58">
        <v>0</v>
      </c>
      <c r="E139" s="74"/>
      <c r="F139" s="5"/>
      <c r="G139" s="13">
        <f t="shared" si="35"/>
        <v>0</v>
      </c>
      <c r="H139" s="12">
        <f t="shared" si="36"/>
        <v>0</v>
      </c>
      <c r="I139" s="80"/>
      <c r="J139" s="12">
        <f t="shared" si="40"/>
        <v>0</v>
      </c>
      <c r="K139" s="7" t="str">
        <f t="shared" si="41"/>
        <v/>
      </c>
      <c r="L139" s="13">
        <f t="shared" si="38"/>
        <v>0</v>
      </c>
      <c r="M139" s="12">
        <f t="shared" si="39"/>
        <v>0</v>
      </c>
      <c r="N139" s="46"/>
      <c r="O139" s="12">
        <f t="shared" si="42"/>
        <v>0</v>
      </c>
      <c r="P139" s="7" t="str">
        <f t="shared" si="43"/>
        <v/>
      </c>
      <c r="Q139" s="88"/>
    </row>
    <row r="140" spans="2:17" x14ac:dyDescent="0.3">
      <c r="B140" s="3" t="s">
        <v>15</v>
      </c>
      <c r="C140" s="57">
        <v>1.2334556894854001</v>
      </c>
      <c r="D140" s="58">
        <v>1.2194557483702699</v>
      </c>
      <c r="E140" s="74"/>
      <c r="F140" s="5"/>
      <c r="G140" s="13">
        <f t="shared" si="35"/>
        <v>355.9004408884112</v>
      </c>
      <c r="H140" s="12">
        <f t="shared" si="36"/>
        <v>352.82066728833337</v>
      </c>
      <c r="I140" s="80"/>
      <c r="J140" s="12">
        <f t="shared" si="40"/>
        <v>354.36055408837228</v>
      </c>
      <c r="K140" s="7">
        <f t="shared" si="41"/>
        <v>0.61455169657265107</v>
      </c>
      <c r="L140" s="13">
        <f t="shared" si="38"/>
        <v>353.51039914344659</v>
      </c>
      <c r="M140" s="12">
        <f t="shared" si="39"/>
        <v>344.77159662034757</v>
      </c>
      <c r="N140" s="46"/>
      <c r="O140" s="12">
        <f t="shared" si="42"/>
        <v>349.14099788189708</v>
      </c>
      <c r="P140" s="7">
        <f t="shared" si="43"/>
        <v>1.7698484454763672</v>
      </c>
      <c r="Q140" s="88">
        <f t="shared" si="44"/>
        <v>1.4838790879300825</v>
      </c>
    </row>
    <row r="141" spans="2:17" x14ac:dyDescent="0.3">
      <c r="B141" s="3" t="s">
        <v>1</v>
      </c>
      <c r="C141" s="57">
        <v>1.6872015632362301</v>
      </c>
      <c r="D141" s="58">
        <v>1.6775507640384599</v>
      </c>
      <c r="E141" s="74"/>
      <c r="F141" s="5"/>
      <c r="G141" s="13">
        <f t="shared" si="35"/>
        <v>410.84113609019653</v>
      </c>
      <c r="H141" s="12">
        <f t="shared" si="36"/>
        <v>409.60535127938994</v>
      </c>
      <c r="I141" s="80"/>
      <c r="J141" s="12">
        <f t="shared" si="40"/>
        <v>410.22324368479326</v>
      </c>
      <c r="K141" s="7">
        <f t="shared" si="41"/>
        <v>0.21301372685749365</v>
      </c>
      <c r="L141" s="13">
        <f t="shared" si="38"/>
        <v>408.08611243567066</v>
      </c>
      <c r="M141" s="12">
        <f t="shared" si="39"/>
        <v>400.26471884119115</v>
      </c>
      <c r="N141" s="46"/>
      <c r="O141" s="12">
        <f t="shared" si="42"/>
        <v>404.17541563843088</v>
      </c>
      <c r="P141" s="7">
        <f t="shared" si="43"/>
        <v>1.3683564697396233</v>
      </c>
      <c r="Q141" s="88">
        <f t="shared" si="44"/>
        <v>1.4852254426322871</v>
      </c>
    </row>
    <row r="142" spans="2:17" x14ac:dyDescent="0.3">
      <c r="B142" s="2" t="s">
        <v>19</v>
      </c>
      <c r="C142" s="57">
        <v>2.0150382947375398</v>
      </c>
      <c r="D142" s="58">
        <v>2.0426620040909902</v>
      </c>
      <c r="E142" s="74"/>
      <c r="F142" s="5"/>
      <c r="G142" s="13">
        <f t="shared" si="35"/>
        <v>515.41118134609565</v>
      </c>
      <c r="H142" s="12">
        <f t="shared" si="36"/>
        <v>523.90198112262749</v>
      </c>
      <c r="I142" s="80"/>
      <c r="J142" s="12">
        <f t="shared" si="40"/>
        <v>519.65658123436151</v>
      </c>
      <c r="K142" s="7">
        <f t="shared" si="41"/>
        <v>1.1553595810182131</v>
      </c>
      <c r="L142" s="13">
        <f t="shared" si="38"/>
        <v>511.95240000000001</v>
      </c>
      <c r="M142" s="12">
        <f t="shared" si="39"/>
        <v>511.95240000000001</v>
      </c>
      <c r="N142" s="87"/>
      <c r="O142" s="12">
        <f t="shared" si="42"/>
        <v>511.95240000000001</v>
      </c>
      <c r="P142" s="7">
        <f t="shared" si="43"/>
        <v>0</v>
      </c>
      <c r="Q142" s="88">
        <f t="shared" si="44"/>
        <v>1.4936243042675212</v>
      </c>
    </row>
    <row r="143" spans="2:17" x14ac:dyDescent="0.3">
      <c r="B143" s="3" t="s">
        <v>16</v>
      </c>
      <c r="C143" s="57">
        <v>0.24544972114063399</v>
      </c>
      <c r="D143" s="58">
        <v>0.256116370085267</v>
      </c>
      <c r="E143" s="74"/>
      <c r="F143" s="5"/>
      <c r="G143" s="13">
        <f t="shared" si="35"/>
        <v>64.412463330477465</v>
      </c>
      <c r="H143" s="12">
        <f t="shared" si="36"/>
        <v>67.395003700697785</v>
      </c>
      <c r="I143" s="80"/>
      <c r="J143" s="12">
        <f t="shared" si="40"/>
        <v>65.903733515587618</v>
      </c>
      <c r="K143" s="7">
        <f t="shared" si="41"/>
        <v>3.2000835285706652</v>
      </c>
      <c r="L143" s="13">
        <f t="shared" si="38"/>
        <v>63.979606444261016</v>
      </c>
      <c r="M143" s="12">
        <f t="shared" si="39"/>
        <v>65.857183402534162</v>
      </c>
      <c r="N143" s="46"/>
      <c r="O143" s="12">
        <f t="shared" si="42"/>
        <v>64.918394923397585</v>
      </c>
      <c r="P143" s="7">
        <f t="shared" si="43"/>
        <v>2.045102009932855</v>
      </c>
      <c r="Q143" s="88">
        <f t="shared" si="44"/>
        <v>1.5063790873110428</v>
      </c>
    </row>
    <row r="144" spans="2:17" x14ac:dyDescent="0.3">
      <c r="B144" s="3" t="s">
        <v>17</v>
      </c>
      <c r="C144" s="57">
        <v>0.59116915481705101</v>
      </c>
      <c r="D144" s="58">
        <v>0.58692246872492704</v>
      </c>
      <c r="E144" s="74"/>
      <c r="F144" s="5"/>
      <c r="G144" s="13">
        <f t="shared" si="35"/>
        <v>143.15313344086965</v>
      </c>
      <c r="H144" s="12">
        <f t="shared" si="36"/>
        <v>142.51245664711519</v>
      </c>
      <c r="I144" s="80"/>
      <c r="J144" s="12">
        <f t="shared" si="40"/>
        <v>142.83279504399241</v>
      </c>
      <c r="K144" s="7">
        <f t="shared" si="41"/>
        <v>0.31717289105286067</v>
      </c>
      <c r="L144" s="13">
        <f t="shared" si="38"/>
        <v>142.18993117819579</v>
      </c>
      <c r="M144" s="12">
        <f t="shared" si="39"/>
        <v>139.25942804728811</v>
      </c>
      <c r="N144" s="46"/>
      <c r="O144" s="12">
        <f t="shared" si="42"/>
        <v>140.72467961274197</v>
      </c>
      <c r="P144" s="7">
        <f t="shared" si="43"/>
        <v>1.472505492182058</v>
      </c>
      <c r="Q144" s="88">
        <f t="shared" si="44"/>
        <v>1.486905209465881</v>
      </c>
    </row>
    <row r="145" spans="2:17" x14ac:dyDescent="0.3">
      <c r="B145" s="4" t="s">
        <v>18</v>
      </c>
      <c r="C145" s="61">
        <v>1.5058394802518</v>
      </c>
      <c r="D145" s="62">
        <v>1.5004185039543401</v>
      </c>
      <c r="E145" s="76"/>
      <c r="F145" s="128"/>
      <c r="G145" s="130">
        <f t="shared" si="35"/>
        <v>369.68411442203745</v>
      </c>
      <c r="H145" s="39">
        <f t="shared" si="36"/>
        <v>369.35800813049525</v>
      </c>
      <c r="I145" s="244"/>
      <c r="J145" s="39">
        <f t="shared" si="40"/>
        <v>369.52106127626632</v>
      </c>
      <c r="K145" s="40">
        <f t="shared" si="41"/>
        <v>6.2402930252652304E-2</v>
      </c>
      <c r="L145" s="130">
        <f t="shared" si="38"/>
        <v>367.19565277944514</v>
      </c>
      <c r="M145" s="39">
        <f t="shared" si="39"/>
        <v>360.92590706039766</v>
      </c>
      <c r="N145" s="82"/>
      <c r="O145" s="39">
        <f t="shared" si="42"/>
        <v>364.0607799199214</v>
      </c>
      <c r="P145" s="40">
        <f t="shared" si="43"/>
        <v>1.2177581213853801</v>
      </c>
      <c r="Q145" s="242">
        <f t="shared" si="44"/>
        <v>1.4886631728618906</v>
      </c>
    </row>
    <row r="147" spans="2:17" x14ac:dyDescent="0.3">
      <c r="B147" s="30" t="s">
        <v>23</v>
      </c>
      <c r="D147" s="91" t="s">
        <v>82</v>
      </c>
      <c r="E147" s="28"/>
    </row>
    <row r="148" spans="2:17" x14ac:dyDescent="0.3">
      <c r="B148" s="30" t="s">
        <v>26</v>
      </c>
      <c r="D148" s="31">
        <v>17.8</v>
      </c>
      <c r="E148" s="29"/>
      <c r="F148" s="195" t="e">
        <f>40*(C159+D159)/(#REF!+#REF!)</f>
        <v>#REF!</v>
      </c>
      <c r="G148" s="90"/>
      <c r="J148" s="36"/>
    </row>
    <row r="149" spans="2:17" x14ac:dyDescent="0.3">
      <c r="B149" s="30" t="s">
        <v>29</v>
      </c>
      <c r="D149" s="114">
        <v>948060</v>
      </c>
      <c r="E149" s="29"/>
      <c r="J149" s="34"/>
    </row>
    <row r="150" spans="2:17" x14ac:dyDescent="0.3">
      <c r="B150" s="30" t="s">
        <v>31</v>
      </c>
      <c r="D150" s="253" t="s">
        <v>86</v>
      </c>
      <c r="E150" s="78">
        <v>21.32</v>
      </c>
      <c r="F150" s="249" t="s">
        <v>84</v>
      </c>
      <c r="G150" s="254">
        <f>E150*D149/1000000</f>
        <v>20.212639199999998</v>
      </c>
      <c r="I150" s="249" t="s">
        <v>85</v>
      </c>
      <c r="J150" s="251">
        <f>G150/D148*100</f>
        <v>113.55415280898875</v>
      </c>
    </row>
    <row r="151" spans="2:17" ht="14.5" x14ac:dyDescent="0.35">
      <c r="B151" s="339" t="s">
        <v>0</v>
      </c>
      <c r="C151" s="342" t="s">
        <v>24</v>
      </c>
      <c r="D151" s="343"/>
      <c r="E151" s="343"/>
      <c r="F151" s="343"/>
      <c r="G151" s="323" t="s">
        <v>36</v>
      </c>
      <c r="H151" s="324"/>
      <c r="I151" s="324"/>
      <c r="J151" s="324"/>
      <c r="K151" s="325"/>
      <c r="L151" s="323" t="s">
        <v>37</v>
      </c>
      <c r="M151" s="334"/>
      <c r="N151" s="334"/>
      <c r="O151" s="334"/>
      <c r="P151" s="335"/>
      <c r="Q151" s="336" t="s">
        <v>32</v>
      </c>
    </row>
    <row r="152" spans="2:17" ht="14.5" x14ac:dyDescent="0.3">
      <c r="B152" s="340"/>
      <c r="C152" s="33"/>
      <c r="D152" s="72"/>
      <c r="E152" s="72"/>
      <c r="F152" s="206"/>
      <c r="G152" s="323" t="s">
        <v>25</v>
      </c>
      <c r="H152" s="324"/>
      <c r="I152" s="325"/>
      <c r="J152" s="46"/>
      <c r="K152" s="9"/>
      <c r="L152" s="323" t="s">
        <v>25</v>
      </c>
      <c r="M152" s="324"/>
      <c r="N152" s="325"/>
      <c r="O152" s="46"/>
      <c r="P152" s="9"/>
      <c r="Q152" s="337"/>
    </row>
    <row r="153" spans="2:17" x14ac:dyDescent="0.3">
      <c r="B153" s="341"/>
      <c r="C153" s="9" t="s">
        <v>21</v>
      </c>
      <c r="D153" s="9" t="s">
        <v>8</v>
      </c>
      <c r="E153" s="9" t="s">
        <v>22</v>
      </c>
      <c r="F153" s="116"/>
      <c r="G153" s="32" t="s">
        <v>21</v>
      </c>
      <c r="H153" s="32" t="s">
        <v>8</v>
      </c>
      <c r="I153" s="32" t="s">
        <v>22</v>
      </c>
      <c r="J153" s="32" t="s">
        <v>30</v>
      </c>
      <c r="K153" s="240" t="s">
        <v>83</v>
      </c>
      <c r="L153" s="32" t="s">
        <v>21</v>
      </c>
      <c r="M153" s="32" t="s">
        <v>8</v>
      </c>
      <c r="N153" s="32" t="s">
        <v>22</v>
      </c>
      <c r="O153" s="32" t="s">
        <v>30</v>
      </c>
      <c r="P153" s="240" t="s">
        <v>83</v>
      </c>
      <c r="Q153" s="338"/>
    </row>
    <row r="154" spans="2:17" x14ac:dyDescent="0.3">
      <c r="B154" s="3" t="s">
        <v>9</v>
      </c>
      <c r="C154" s="64">
        <v>1.8838995380804802E-2</v>
      </c>
      <c r="D154" s="64">
        <v>1.75146349875266E-2</v>
      </c>
      <c r="E154" s="73"/>
      <c r="F154" s="101"/>
      <c r="G154" s="127">
        <f t="shared" ref="G154:G166" si="45">H47*789270*C154/C$159</f>
        <v>23.47842550172501</v>
      </c>
      <c r="H154" s="125">
        <f t="shared" ref="H154:H166" si="46">H47*789270*D154/D$159</f>
        <v>21.72940152474855</v>
      </c>
      <c r="I154" s="89"/>
      <c r="J154" s="125">
        <f>IF(I154=0,AVERAGE(G154:H154),AVERAGE(G154:I154))</f>
        <v>22.60391351323678</v>
      </c>
      <c r="K154" s="93">
        <f t="shared" ref="K154" si="47">IF(J154=0,"",IF(I154=0,STDEV(G154,H154)/AVERAGE(G154,H154)*100,STDEV(G154,I154)/AVERAGE(G154,I154)*100))</f>
        <v>5.4713831472310481</v>
      </c>
      <c r="L154" s="127">
        <f t="shared" ref="L154:L166" si="48">I47*C154/C$163*E$150*D$149/1000/D$148</f>
        <v>23.023780248587759</v>
      </c>
      <c r="M154" s="125">
        <f t="shared" ref="M154:M166" si="49">I47*D154/D$163*E$150*D$149/1000/D$148</f>
        <v>21.296679520741346</v>
      </c>
      <c r="N154" s="95"/>
      <c r="O154" s="125">
        <f>IF(N154=0,AVERAGE(L154:M154),AVERAGE(L154:N154))</f>
        <v>22.160229884664552</v>
      </c>
      <c r="P154" s="54">
        <f>IF(O154=0,"",IF(N154=0,STDEV(L154,M154)/AVERAGE(L154,M154)*100,STDEV(L154,N154)/AVERAGE(L154,N154)*100))</f>
        <v>5.5109745828835139</v>
      </c>
      <c r="Q154" s="121">
        <f>(J154-O154)/((J154+O154)/2)*100</f>
        <v>1.982317072967952</v>
      </c>
    </row>
    <row r="155" spans="2:17" x14ac:dyDescent="0.3">
      <c r="B155" s="3" t="s">
        <v>10</v>
      </c>
      <c r="C155" s="64">
        <v>6.4228620226973896E-3</v>
      </c>
      <c r="D155" s="64">
        <v>5.9834706843040599E-3</v>
      </c>
      <c r="E155" s="74"/>
      <c r="F155" s="5"/>
      <c r="G155" s="13">
        <f t="shared" si="45"/>
        <v>9.9011080700103644</v>
      </c>
      <c r="H155" s="12">
        <f t="shared" si="46"/>
        <v>9.1821381067167565</v>
      </c>
      <c r="I155" s="80"/>
      <c r="J155" s="12">
        <f t="shared" ref="J155:J166" si="50">IF(I155=0,AVERAGE(G155:H155),AVERAGE(G155:I155))</f>
        <v>9.5416230883635613</v>
      </c>
      <c r="K155" s="6">
        <f t="shared" ref="K155:K166" si="51">IF(J155=0,"",IF(I155=0,STDEV(G155,H155)/AVERAGE(G155,H155)*100,STDEV(G155,I155)/AVERAGE(G155,I155)*100))</f>
        <v>5.3281137999923311</v>
      </c>
      <c r="L155" s="13">
        <f t="shared" si="48"/>
        <v>9.7094977523214716</v>
      </c>
      <c r="M155" s="12">
        <f t="shared" si="49"/>
        <v>8.9993937405209614</v>
      </c>
      <c r="N155" s="46"/>
      <c r="O155" s="12">
        <f t="shared" ref="O155:O166" si="52">IF(N155=0,AVERAGE(L155:M155),AVERAGE(L155:N155))</f>
        <v>9.3544457464212165</v>
      </c>
      <c r="P155" s="7">
        <f t="shared" ref="P155:P166" si="53">IF(O155=0,"",IF(N155=0,STDEV(L155,M155)/AVERAGE(L155,M155)*100,STDEV(L155,N155)/AVERAGE(L155,N155)*100))</f>
        <v>5.3677083143489446</v>
      </c>
      <c r="Q155" s="88">
        <f t="shared" ref="Q155:Q166" si="54">(J155-O155)/((J155+O155)/2)*100</f>
        <v>1.9811246834344709</v>
      </c>
    </row>
    <row r="156" spans="2:17" x14ac:dyDescent="0.3">
      <c r="B156" s="3" t="s">
        <v>11</v>
      </c>
      <c r="C156" s="64">
        <v>0.38679521736726402</v>
      </c>
      <c r="D156" s="64">
        <v>0.361689371575242</v>
      </c>
      <c r="E156" s="74"/>
      <c r="F156" s="5"/>
      <c r="G156" s="13">
        <f t="shared" si="45"/>
        <v>426.94511455115469</v>
      </c>
      <c r="H156" s="12">
        <f t="shared" si="46"/>
        <v>397.43137071857512</v>
      </c>
      <c r="I156" s="80"/>
      <c r="J156" s="12">
        <f t="shared" si="50"/>
        <v>412.18824263486488</v>
      </c>
      <c r="K156" s="6">
        <f t="shared" si="51"/>
        <v>5.0630673666999009</v>
      </c>
      <c r="L156" s="13">
        <f t="shared" si="48"/>
        <v>418.67627299574053</v>
      </c>
      <c r="M156" s="12">
        <f t="shared" si="49"/>
        <v>389.51565208174151</v>
      </c>
      <c r="N156" s="46"/>
      <c r="O156" s="12">
        <f t="shared" si="52"/>
        <v>404.09596253874099</v>
      </c>
      <c r="P156" s="7">
        <f t="shared" si="53"/>
        <v>5.1026673620680256</v>
      </c>
      <c r="Q156" s="88">
        <f t="shared" si="54"/>
        <v>1.9827114244855035</v>
      </c>
    </row>
    <row r="157" spans="2:17" x14ac:dyDescent="0.3">
      <c r="B157" s="3" t="s">
        <v>12</v>
      </c>
      <c r="C157" s="66">
        <v>0</v>
      </c>
      <c r="D157" s="98">
        <v>0</v>
      </c>
      <c r="E157" s="74"/>
      <c r="F157" s="5"/>
      <c r="G157" s="13">
        <f t="shared" si="45"/>
        <v>0</v>
      </c>
      <c r="H157" s="12">
        <f t="shared" si="46"/>
        <v>0</v>
      </c>
      <c r="I157" s="80"/>
      <c r="J157" s="12">
        <f t="shared" si="50"/>
        <v>0</v>
      </c>
      <c r="K157" s="6" t="str">
        <f t="shared" si="51"/>
        <v/>
      </c>
      <c r="L157" s="13">
        <f t="shared" si="48"/>
        <v>0</v>
      </c>
      <c r="M157" s="12">
        <f t="shared" si="49"/>
        <v>0</v>
      </c>
      <c r="N157" s="46"/>
      <c r="O157" s="12">
        <f t="shared" si="52"/>
        <v>0</v>
      </c>
      <c r="P157" s="7" t="str">
        <f t="shared" si="53"/>
        <v/>
      </c>
      <c r="Q157" s="88"/>
    </row>
    <row r="158" spans="2:17" x14ac:dyDescent="0.3">
      <c r="B158" s="3" t="s">
        <v>13</v>
      </c>
      <c r="C158" s="66">
        <v>1.01680674990605</v>
      </c>
      <c r="D158" s="98">
        <v>1.0239101230294001</v>
      </c>
      <c r="E158" s="74"/>
      <c r="F158" s="5"/>
      <c r="G158" s="13">
        <f t="shared" si="45"/>
        <v>1200.0629114720098</v>
      </c>
      <c r="H158" s="12">
        <f t="shared" si="46"/>
        <v>1202.9923753899343</v>
      </c>
      <c r="I158" s="80"/>
      <c r="J158" s="12">
        <f t="shared" si="50"/>
        <v>1201.5276434309721</v>
      </c>
      <c r="K158" s="6">
        <f t="shared" si="51"/>
        <v>0.17240084428608868</v>
      </c>
      <c r="L158" s="13">
        <f t="shared" si="48"/>
        <v>1176.8192985715068</v>
      </c>
      <c r="M158" s="12">
        <f t="shared" si="49"/>
        <v>1179.0306924365548</v>
      </c>
      <c r="N158" s="46"/>
      <c r="O158" s="12">
        <f t="shared" si="52"/>
        <v>1177.9249955040309</v>
      </c>
      <c r="P158" s="7">
        <f t="shared" si="53"/>
        <v>0.13274967453939179</v>
      </c>
      <c r="Q158" s="88">
        <f t="shared" si="54"/>
        <v>1.9838720502968559</v>
      </c>
    </row>
    <row r="159" spans="2:17" x14ac:dyDescent="0.3">
      <c r="B159" s="3" t="s">
        <v>20</v>
      </c>
      <c r="C159" s="96">
        <v>779.09958812078298</v>
      </c>
      <c r="D159" s="97">
        <v>782.63187172455901</v>
      </c>
      <c r="E159" s="75"/>
      <c r="F159" s="5"/>
      <c r="G159" s="11">
        <f t="shared" si="45"/>
        <v>789270</v>
      </c>
      <c r="H159" s="8">
        <f t="shared" si="46"/>
        <v>789270</v>
      </c>
      <c r="I159" s="94"/>
      <c r="J159" s="8">
        <f t="shared" si="50"/>
        <v>789270</v>
      </c>
      <c r="K159" s="6">
        <f t="shared" si="51"/>
        <v>0</v>
      </c>
      <c r="L159" s="13">
        <f t="shared" si="48"/>
        <v>0</v>
      </c>
      <c r="M159" s="12">
        <f t="shared" si="49"/>
        <v>0</v>
      </c>
      <c r="N159" s="46"/>
      <c r="O159" s="12">
        <f t="shared" si="52"/>
        <v>0</v>
      </c>
      <c r="P159" s="7" t="str">
        <f t="shared" si="53"/>
        <v/>
      </c>
      <c r="Q159" s="88"/>
    </row>
    <row r="160" spans="2:17" x14ac:dyDescent="0.3">
      <c r="B160" s="3" t="s">
        <v>14</v>
      </c>
      <c r="C160" s="66">
        <v>0</v>
      </c>
      <c r="D160" s="98">
        <v>0</v>
      </c>
      <c r="E160" s="74"/>
      <c r="F160" s="5"/>
      <c r="G160" s="13">
        <f t="shared" si="45"/>
        <v>0</v>
      </c>
      <c r="H160" s="12">
        <f t="shared" si="46"/>
        <v>0</v>
      </c>
      <c r="I160" s="80"/>
      <c r="J160" s="12">
        <f t="shared" si="50"/>
        <v>0</v>
      </c>
      <c r="K160" s="6" t="str">
        <f t="shared" si="51"/>
        <v/>
      </c>
      <c r="L160" s="13">
        <f t="shared" si="48"/>
        <v>0</v>
      </c>
      <c r="M160" s="12">
        <f t="shared" si="49"/>
        <v>0</v>
      </c>
      <c r="N160" s="46"/>
      <c r="O160" s="12">
        <f t="shared" si="52"/>
        <v>0</v>
      </c>
      <c r="P160" s="7" t="str">
        <f t="shared" si="53"/>
        <v/>
      </c>
      <c r="Q160" s="88"/>
    </row>
    <row r="161" spans="2:17" x14ac:dyDescent="0.3">
      <c r="B161" s="3" t="s">
        <v>15</v>
      </c>
      <c r="C161" s="66">
        <v>0.223957090949092</v>
      </c>
      <c r="D161" s="98">
        <v>0.22499357424234401</v>
      </c>
      <c r="E161" s="74"/>
      <c r="F161" s="5"/>
      <c r="G161" s="13">
        <f t="shared" si="45"/>
        <v>147.00484223278258</v>
      </c>
      <c r="H161" s="12">
        <f t="shared" si="46"/>
        <v>147.01863368716133</v>
      </c>
      <c r="I161" s="80"/>
      <c r="J161" s="12">
        <f t="shared" si="50"/>
        <v>147.01173795997195</v>
      </c>
      <c r="K161" s="6">
        <f t="shared" si="51"/>
        <v>6.633504949307146E-3</v>
      </c>
      <c r="L161" s="13">
        <f t="shared" si="48"/>
        <v>144.15902515720086</v>
      </c>
      <c r="M161" s="12">
        <f t="shared" si="49"/>
        <v>144.09172711839341</v>
      </c>
      <c r="N161" s="46"/>
      <c r="O161" s="12">
        <f t="shared" si="52"/>
        <v>144.12537613779713</v>
      </c>
      <c r="P161" s="7">
        <f t="shared" si="53"/>
        <v>3.3017710604832246E-2</v>
      </c>
      <c r="Q161" s="88">
        <f t="shared" si="54"/>
        <v>1.9828195598624552</v>
      </c>
    </row>
    <row r="162" spans="2:17" x14ac:dyDescent="0.3">
      <c r="B162" s="3" t="s">
        <v>1</v>
      </c>
      <c r="C162" s="66">
        <v>0.45253787122737799</v>
      </c>
      <c r="D162" s="98">
        <v>0.45457343445364801</v>
      </c>
      <c r="E162" s="74"/>
      <c r="F162" s="5"/>
      <c r="G162" s="13">
        <f t="shared" si="45"/>
        <v>250.68233491051174</v>
      </c>
      <c r="H162" s="12">
        <f t="shared" si="46"/>
        <v>250.67342678594599</v>
      </c>
      <c r="I162" s="80"/>
      <c r="J162" s="12">
        <f t="shared" si="50"/>
        <v>250.67788084822888</v>
      </c>
      <c r="K162" s="6">
        <f t="shared" si="51"/>
        <v>2.5127846409032455E-3</v>
      </c>
      <c r="L162" s="13">
        <f t="shared" si="48"/>
        <v>245.8318525070882</v>
      </c>
      <c r="M162" s="12">
        <f t="shared" si="49"/>
        <v>245.68530936859827</v>
      </c>
      <c r="N162" s="46"/>
      <c r="O162" s="12">
        <f t="shared" si="52"/>
        <v>245.75858093784325</v>
      </c>
      <c r="P162" s="7">
        <f t="shared" si="53"/>
        <v>4.2163999550761541E-2</v>
      </c>
      <c r="Q162" s="88">
        <f t="shared" si="54"/>
        <v>1.9818447229629523</v>
      </c>
    </row>
    <row r="163" spans="2:17" x14ac:dyDescent="0.3">
      <c r="B163" s="2" t="s">
        <v>19</v>
      </c>
      <c r="C163" s="66">
        <v>1.9900242307902301</v>
      </c>
      <c r="D163" s="98">
        <v>2.0001678929664699</v>
      </c>
      <c r="E163" s="74"/>
      <c r="F163" s="5"/>
      <c r="G163" s="13">
        <f t="shared" si="45"/>
        <v>1157.9525021451293</v>
      </c>
      <c r="H163" s="12">
        <f t="shared" si="46"/>
        <v>1158.602009431153</v>
      </c>
      <c r="I163" s="85"/>
      <c r="J163" s="12">
        <f t="shared" si="50"/>
        <v>1158.2772557881412</v>
      </c>
      <c r="K163" s="6">
        <f t="shared" si="51"/>
        <v>3.9651215119897623E-2</v>
      </c>
      <c r="L163" s="13">
        <f t="shared" si="48"/>
        <v>1135.5415280898874</v>
      </c>
      <c r="M163" s="12">
        <f t="shared" si="49"/>
        <v>1135.5415280898874</v>
      </c>
      <c r="N163" s="87"/>
      <c r="O163" s="12">
        <f t="shared" si="52"/>
        <v>1135.5415280898874</v>
      </c>
      <c r="P163" s="7">
        <f t="shared" si="53"/>
        <v>0</v>
      </c>
      <c r="Q163" s="88">
        <f t="shared" si="54"/>
        <v>1.9823473290959688</v>
      </c>
    </row>
    <row r="164" spans="2:17" x14ac:dyDescent="0.3">
      <c r="B164" s="3" t="s">
        <v>16</v>
      </c>
      <c r="C164" s="66">
        <v>0.24544972114063399</v>
      </c>
      <c r="D164" s="98">
        <v>0.256116370085267</v>
      </c>
      <c r="E164" s="74"/>
      <c r="F164" s="5"/>
      <c r="G164" s="13">
        <f t="shared" si="45"/>
        <v>146.53175712289607</v>
      </c>
      <c r="H164" s="12">
        <f t="shared" si="46"/>
        <v>152.20958333936252</v>
      </c>
      <c r="I164" s="80"/>
      <c r="J164" s="12">
        <f t="shared" si="50"/>
        <v>149.37067023112928</v>
      </c>
      <c r="K164" s="6">
        <f t="shared" si="51"/>
        <v>2.6878298221798351</v>
      </c>
      <c r="L164" s="13">
        <f t="shared" si="48"/>
        <v>143.69443269880392</v>
      </c>
      <c r="M164" s="12">
        <f t="shared" si="49"/>
        <v>149.17864219211029</v>
      </c>
      <c r="N164" s="46"/>
      <c r="O164" s="12">
        <f t="shared" si="52"/>
        <v>146.43653744545711</v>
      </c>
      <c r="P164" s="7">
        <f t="shared" si="53"/>
        <v>2.6481927187120036</v>
      </c>
      <c r="Q164" s="88">
        <f t="shared" si="54"/>
        <v>1.9838142611319596</v>
      </c>
    </row>
    <row r="165" spans="2:17" x14ac:dyDescent="0.3">
      <c r="B165" s="3" t="s">
        <v>17</v>
      </c>
      <c r="C165" s="66">
        <v>0.38919244890535898</v>
      </c>
      <c r="D165" s="98">
        <v>0.39421737998481599</v>
      </c>
      <c r="E165" s="74"/>
      <c r="F165" s="5"/>
      <c r="G165" s="13">
        <f t="shared" si="45"/>
        <v>214.39534290108051</v>
      </c>
      <c r="H165" s="12">
        <f t="shared" si="46"/>
        <v>216.18330588945122</v>
      </c>
      <c r="I165" s="46"/>
      <c r="J165" s="12">
        <f t="shared" si="50"/>
        <v>215.28932439526585</v>
      </c>
      <c r="K165" s="6">
        <f t="shared" si="51"/>
        <v>0.58724730412842208</v>
      </c>
      <c r="L165" s="13">
        <f t="shared" si="48"/>
        <v>210.24218498531661</v>
      </c>
      <c r="M165" s="12">
        <f t="shared" si="49"/>
        <v>211.8766686915865</v>
      </c>
      <c r="N165" s="46"/>
      <c r="O165" s="12">
        <f t="shared" si="52"/>
        <v>211.05942683845154</v>
      </c>
      <c r="P165" s="7">
        <f t="shared" si="53"/>
        <v>0.54759672654990887</v>
      </c>
      <c r="Q165" s="88">
        <f t="shared" si="54"/>
        <v>1.9842429675585223</v>
      </c>
    </row>
    <row r="166" spans="2:17" x14ac:dyDescent="0.3">
      <c r="B166" s="4" t="s">
        <v>18</v>
      </c>
      <c r="C166" s="67">
        <v>1.5476518592883699</v>
      </c>
      <c r="D166" s="99">
        <v>1.5878389689903101</v>
      </c>
      <c r="E166" s="76"/>
      <c r="F166" s="128"/>
      <c r="G166" s="130">
        <f t="shared" si="45"/>
        <v>864.34521625507023</v>
      </c>
      <c r="H166" s="39">
        <f t="shared" si="46"/>
        <v>882.78685940603259</v>
      </c>
      <c r="I166" s="82"/>
      <c r="J166" s="39">
        <f t="shared" si="50"/>
        <v>873.56603783055141</v>
      </c>
      <c r="K166" s="239">
        <f t="shared" si="51"/>
        <v>1.4927561699459511</v>
      </c>
      <c r="L166" s="130">
        <f t="shared" si="48"/>
        <v>847.59913195339811</v>
      </c>
      <c r="M166" s="39">
        <f t="shared" si="49"/>
        <v>865.19818273755743</v>
      </c>
      <c r="N166" s="82"/>
      <c r="O166" s="39">
        <f t="shared" si="52"/>
        <v>856.39865734547777</v>
      </c>
      <c r="P166" s="40">
        <f t="shared" si="53"/>
        <v>1.4531092552735414</v>
      </c>
      <c r="Q166" s="242">
        <f t="shared" si="54"/>
        <v>1.9847087669412586</v>
      </c>
    </row>
    <row r="168" spans="2:17" x14ac:dyDescent="0.3">
      <c r="B168" s="48"/>
      <c r="C168" s="48"/>
      <c r="D168" s="49"/>
      <c r="E168" s="49"/>
    </row>
    <row r="169" spans="2:17" x14ac:dyDescent="0.3">
      <c r="B169" s="48"/>
      <c r="C169" s="48"/>
      <c r="D169" s="49"/>
      <c r="E169" s="49"/>
    </row>
    <row r="170" spans="2:17" x14ac:dyDescent="0.3">
      <c r="B170" s="48"/>
      <c r="C170" s="48"/>
      <c r="D170" s="49"/>
      <c r="E170" s="49"/>
    </row>
    <row r="171" spans="2:17" x14ac:dyDescent="0.3">
      <c r="B171" s="48"/>
      <c r="C171" s="48"/>
      <c r="D171" s="49"/>
      <c r="E171" s="49"/>
    </row>
    <row r="172" spans="2:17" x14ac:dyDescent="0.3">
      <c r="B172" s="48"/>
      <c r="C172" s="48"/>
      <c r="D172" s="50"/>
      <c r="E172" s="50"/>
    </row>
    <row r="173" spans="2:17" x14ac:dyDescent="0.3">
      <c r="B173" s="48"/>
      <c r="C173" s="48"/>
      <c r="D173" s="49"/>
      <c r="E173" s="49"/>
    </row>
    <row r="174" spans="2:17" x14ac:dyDescent="0.3">
      <c r="B174" s="48"/>
      <c r="C174" s="48"/>
      <c r="D174" s="49"/>
      <c r="E174" s="49"/>
    </row>
    <row r="175" spans="2:17" x14ac:dyDescent="0.3">
      <c r="B175" s="48"/>
      <c r="C175" s="48"/>
      <c r="D175" s="49"/>
      <c r="E175" s="49"/>
      <c r="Q175" s="30"/>
    </row>
    <row r="176" spans="2:17" x14ac:dyDescent="0.3">
      <c r="B176" s="48"/>
      <c r="C176" s="48"/>
      <c r="D176" s="49"/>
      <c r="E176" s="49"/>
      <c r="Q176" s="30"/>
    </row>
    <row r="177" spans="2:17" x14ac:dyDescent="0.3">
      <c r="B177" s="48"/>
      <c r="C177" s="48"/>
      <c r="D177" s="49"/>
      <c r="E177" s="49"/>
      <c r="Q177" s="30"/>
    </row>
  </sheetData>
  <mergeCells count="48">
    <mergeCell ref="B86:B88"/>
    <mergeCell ref="G86:K86"/>
    <mergeCell ref="L86:P86"/>
    <mergeCell ref="Q86:Q88"/>
    <mergeCell ref="C86:E86"/>
    <mergeCell ref="G87:J87"/>
    <mergeCell ref="L87:O87"/>
    <mergeCell ref="S61:U61"/>
    <mergeCell ref="B45:B46"/>
    <mergeCell ref="C45:G45"/>
    <mergeCell ref="V61:X61"/>
    <mergeCell ref="S62:X62"/>
    <mergeCell ref="B61:B63"/>
    <mergeCell ref="C62:E62"/>
    <mergeCell ref="L62:N62"/>
    <mergeCell ref="O62:Q62"/>
    <mergeCell ref="B151:B153"/>
    <mergeCell ref="C151:F151"/>
    <mergeCell ref="G151:K151"/>
    <mergeCell ref="L151:P151"/>
    <mergeCell ref="Q151:Q153"/>
    <mergeCell ref="G152:I152"/>
    <mergeCell ref="L152:N152"/>
    <mergeCell ref="L130:P130"/>
    <mergeCell ref="Q130:Q132"/>
    <mergeCell ref="G131:I131"/>
    <mergeCell ref="L131:N131"/>
    <mergeCell ref="B108:B110"/>
    <mergeCell ref="C108:F108"/>
    <mergeCell ref="B130:B132"/>
    <mergeCell ref="C130:F130"/>
    <mergeCell ref="G130:K130"/>
    <mergeCell ref="G108:K108"/>
    <mergeCell ref="L108:P108"/>
    <mergeCell ref="Q108:Q110"/>
    <mergeCell ref="G109:J109"/>
    <mergeCell ref="L109:O109"/>
    <mergeCell ref="B2:G3"/>
    <mergeCell ref="C10:G10"/>
    <mergeCell ref="F62:H62"/>
    <mergeCell ref="I62:K62"/>
    <mergeCell ref="H45:H46"/>
    <mergeCell ref="I45:I46"/>
    <mergeCell ref="C61:Q61"/>
    <mergeCell ref="C13:G13"/>
    <mergeCell ref="B13:B14"/>
    <mergeCell ref="B29:B30"/>
    <mergeCell ref="C29:G29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Equation.DSMT4" shapeId="50177" r:id="rId4">
          <objectPr defaultSize="0" autoPict="0" r:id="rId5">
            <anchor moveWithCells="1" sizeWithCells="1">
              <from>
                <xdr:col>9</xdr:col>
                <xdr:colOff>285750</xdr:colOff>
                <xdr:row>45</xdr:row>
                <xdr:rowOff>6350</xdr:rowOff>
              </from>
              <to>
                <xdr:col>13</xdr:col>
                <xdr:colOff>406400</xdr:colOff>
                <xdr:row>51</xdr:row>
                <xdr:rowOff>101600</xdr:rowOff>
              </to>
            </anchor>
          </objectPr>
        </oleObject>
      </mc:Choice>
      <mc:Fallback>
        <oleObject progId="Equation.DSMT4" shapeId="50177" r:id="rId4"/>
      </mc:Fallback>
    </mc:AlternateContent>
    <mc:AlternateContent xmlns:mc="http://schemas.openxmlformats.org/markup-compatibility/2006">
      <mc:Choice Requires="x14">
        <oleObject progId="Equation.DSMT4" shapeId="50178" r:id="rId6">
          <objectPr defaultSize="0" autoPict="0" r:id="rId7">
            <anchor moveWithCells="1" sizeWithCells="1">
              <from>
                <xdr:col>9</xdr:col>
                <xdr:colOff>292100</xdr:colOff>
                <xdr:row>52</xdr:row>
                <xdr:rowOff>25400</xdr:rowOff>
              </from>
              <to>
                <xdr:col>13</xdr:col>
                <xdr:colOff>457200</xdr:colOff>
                <xdr:row>58</xdr:row>
                <xdr:rowOff>120650</xdr:rowOff>
              </to>
            </anchor>
          </objectPr>
        </oleObject>
      </mc:Choice>
      <mc:Fallback>
        <oleObject progId="Equation.DSMT4" shapeId="50178" r:id="rId6"/>
      </mc:Fallback>
    </mc:AlternateContent>
    <mc:AlternateContent xmlns:mc="http://schemas.openxmlformats.org/markup-compatibility/2006">
      <mc:Choice Requires="x14">
        <oleObject progId="Equation.DSMT4" shapeId="50194" r:id="rId8">
          <objectPr defaultSize="0" autoPict="0" r:id="rId9">
            <anchor moveWithCells="1" sizeWithCells="1">
              <from>
                <xdr:col>6</xdr:col>
                <xdr:colOff>603250</xdr:colOff>
                <xdr:row>80</xdr:row>
                <xdr:rowOff>101600</xdr:rowOff>
              </from>
              <to>
                <xdr:col>9</xdr:col>
                <xdr:colOff>273050</xdr:colOff>
                <xdr:row>83</xdr:row>
                <xdr:rowOff>107950</xdr:rowOff>
              </to>
            </anchor>
          </objectPr>
        </oleObject>
      </mc:Choice>
      <mc:Fallback>
        <oleObject progId="Equation.DSMT4" shapeId="50194" r:id="rId8"/>
      </mc:Fallback>
    </mc:AlternateContent>
    <mc:AlternateContent xmlns:mc="http://schemas.openxmlformats.org/markup-compatibility/2006">
      <mc:Choice Requires="x14">
        <oleObject progId="Equation.DSMT4" shapeId="50195" r:id="rId10">
          <objectPr defaultSize="0" autoPict="0" r:id="rId11">
            <anchor moveWithCells="1" sizeWithCells="1">
              <from>
                <xdr:col>11</xdr:col>
                <xdr:colOff>171450</xdr:colOff>
                <xdr:row>80</xdr:row>
                <xdr:rowOff>82550</xdr:rowOff>
              </from>
              <to>
                <xdr:col>15</xdr:col>
                <xdr:colOff>355600</xdr:colOff>
                <xdr:row>83</xdr:row>
                <xdr:rowOff>114300</xdr:rowOff>
              </to>
            </anchor>
          </objectPr>
        </oleObject>
      </mc:Choice>
      <mc:Fallback>
        <oleObject progId="Equation.DSMT4" shapeId="50195" r:id="rId10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240"/>
  <sheetViews>
    <sheetView zoomScale="50" zoomScaleNormal="50" workbookViewId="0">
      <selection activeCell="O23" sqref="O23"/>
    </sheetView>
  </sheetViews>
  <sheetFormatPr defaultColWidth="8.90625" defaultRowHeight="13" x14ac:dyDescent="0.3"/>
  <cols>
    <col min="1" max="1" width="4.08984375" style="30" customWidth="1"/>
    <col min="2" max="2" width="19.08984375" style="30" customWidth="1"/>
    <col min="3" max="3" width="11" style="30" customWidth="1"/>
    <col min="4" max="4" width="10.54296875" style="30" customWidth="1"/>
    <col min="5" max="5" width="9.36328125" style="30" customWidth="1"/>
    <col min="6" max="7" width="12.08984375" style="30" customWidth="1"/>
    <col min="8" max="8" width="10.453125" style="30" customWidth="1"/>
    <col min="9" max="9" width="10.6328125" style="30" customWidth="1"/>
    <col min="10" max="11" width="10.453125" style="30" customWidth="1"/>
    <col min="12" max="12" width="18" style="30" customWidth="1"/>
    <col min="13" max="13" width="9.81640625" style="30" customWidth="1"/>
    <col min="14" max="14" width="10.6328125" style="30" customWidth="1"/>
    <col min="15" max="15" width="10.54296875" style="30" customWidth="1"/>
    <col min="16" max="16" width="10.1796875" style="30" customWidth="1"/>
    <col min="17" max="17" width="9.81640625" style="30" customWidth="1"/>
    <col min="18" max="18" width="8.453125" style="29" customWidth="1"/>
    <col min="19" max="20" width="8.90625" style="30" customWidth="1"/>
    <col min="21" max="21" width="5.7265625" style="30" customWidth="1"/>
    <col min="22" max="22" width="17.7265625" style="30" customWidth="1"/>
    <col min="23" max="24" width="10.7265625" style="30" customWidth="1"/>
    <col min="25" max="25" width="10.54296875" style="30" customWidth="1"/>
    <col min="26" max="26" width="8.08984375" style="30" customWidth="1"/>
    <col min="27" max="27" width="8.90625" style="30" customWidth="1"/>
    <col min="28" max="28" width="9.36328125" style="30" customWidth="1"/>
    <col min="29" max="30" width="9.1796875" style="30" customWidth="1"/>
    <col min="31" max="31" width="5.81640625" style="30" customWidth="1"/>
    <col min="32" max="32" width="16.90625" style="30" customWidth="1"/>
    <col min="33" max="33" width="10.90625" style="30" customWidth="1"/>
    <col min="34" max="34" width="10.26953125" style="30" customWidth="1"/>
    <col min="35" max="35" width="10.54296875" style="30" customWidth="1"/>
    <col min="36" max="37" width="8.90625" style="30" customWidth="1"/>
    <col min="38" max="38" width="9.81640625" style="30" customWidth="1"/>
    <col min="39" max="40" width="8.90625" style="30"/>
    <col min="41" max="41" width="7.1796875" style="30" customWidth="1"/>
    <col min="42" max="42" width="16.81640625" style="30" customWidth="1"/>
    <col min="43" max="43" width="8.90625" style="30"/>
    <col min="44" max="46" width="10.08984375" style="30" customWidth="1"/>
    <col min="47" max="51" width="8.90625" style="30"/>
    <col min="52" max="52" width="15.7265625" style="30" customWidth="1"/>
    <col min="53" max="55" width="8.90625" style="30"/>
    <col min="56" max="56" width="10.36328125" style="30" customWidth="1"/>
    <col min="57" max="16384" width="8.90625" style="30"/>
  </cols>
  <sheetData>
    <row r="1" spans="2:45" x14ac:dyDescent="0.3">
      <c r="B1" s="48"/>
      <c r="Q1" s="129"/>
      <c r="R1" s="129"/>
      <c r="S1" s="129"/>
      <c r="T1" s="129"/>
      <c r="U1" s="129"/>
      <c r="V1" s="129"/>
    </row>
    <row r="2" spans="2:45" x14ac:dyDescent="0.3">
      <c r="B2" s="27" t="s">
        <v>33</v>
      </c>
      <c r="C2" s="28"/>
      <c r="D2" s="28"/>
      <c r="E2" s="28"/>
      <c r="F2" s="28"/>
      <c r="G2" s="28"/>
      <c r="H2" s="28"/>
      <c r="Q2" s="129"/>
      <c r="R2" s="129"/>
      <c r="S2" s="129"/>
      <c r="T2" s="129"/>
      <c r="U2" s="129"/>
      <c r="V2" s="129"/>
    </row>
    <row r="3" spans="2:45" x14ac:dyDescent="0.3">
      <c r="B3" s="100" t="s">
        <v>91</v>
      </c>
      <c r="C3" s="77"/>
      <c r="D3" s="77"/>
      <c r="E3" s="77"/>
      <c r="F3" s="77"/>
      <c r="G3" s="77"/>
      <c r="H3" s="77"/>
      <c r="Q3" s="129"/>
      <c r="R3" s="129"/>
      <c r="S3" s="129"/>
      <c r="T3" s="129"/>
      <c r="U3" s="129"/>
      <c r="V3" s="129"/>
    </row>
    <row r="4" spans="2:45" x14ac:dyDescent="0.3">
      <c r="B4" s="264" t="s">
        <v>92</v>
      </c>
      <c r="C4" s="264"/>
      <c r="D4" s="265"/>
      <c r="E4" s="265"/>
      <c r="F4" s="265"/>
      <c r="G4" s="265"/>
      <c r="H4" s="265"/>
      <c r="I4" s="105"/>
      <c r="Q4" s="129"/>
      <c r="R4" s="129"/>
      <c r="S4" s="129"/>
      <c r="T4" s="129"/>
      <c r="U4" s="129"/>
      <c r="V4" s="129"/>
    </row>
    <row r="5" spans="2:45" x14ac:dyDescent="0.3">
      <c r="B5" s="264" t="s">
        <v>93</v>
      </c>
      <c r="C5" s="264"/>
      <c r="D5" s="265"/>
      <c r="E5" s="265"/>
      <c r="F5" s="265"/>
      <c r="G5" s="265"/>
      <c r="H5" s="265"/>
      <c r="I5" s="105"/>
      <c r="Q5" s="129"/>
      <c r="R5" s="129"/>
      <c r="S5" s="129"/>
      <c r="T5" s="129"/>
      <c r="U5" s="129"/>
      <c r="V5" s="129"/>
    </row>
    <row r="6" spans="2:45" x14ac:dyDescent="0.3">
      <c r="B6" s="35"/>
      <c r="C6" s="12"/>
      <c r="D6" s="12"/>
      <c r="E6" s="12"/>
      <c r="F6" s="12"/>
      <c r="G6" s="12"/>
      <c r="H6" s="12"/>
      <c r="I6" s="6"/>
      <c r="M6" s="48"/>
      <c r="N6" s="48"/>
      <c r="O6" s="48"/>
      <c r="R6" s="87"/>
      <c r="S6" s="46"/>
      <c r="T6" s="46"/>
      <c r="U6" s="107"/>
      <c r="V6" s="107"/>
      <c r="W6" s="107"/>
      <c r="X6" s="107"/>
      <c r="Y6" s="107"/>
      <c r="Z6" s="107"/>
      <c r="AA6" s="74"/>
      <c r="AB6" s="74"/>
      <c r="AC6" s="74"/>
      <c r="AD6" s="74"/>
      <c r="AE6" s="74"/>
      <c r="AF6" s="108"/>
      <c r="AG6" s="108"/>
      <c r="AH6" s="74"/>
      <c r="AI6" s="74"/>
      <c r="AJ6" s="74"/>
      <c r="AK6" s="109"/>
      <c r="AL6" s="74"/>
      <c r="AM6" s="109"/>
      <c r="AN6" s="109"/>
      <c r="AO6" s="74"/>
      <c r="AP6" s="74"/>
      <c r="AQ6" s="74"/>
      <c r="AR6" s="87"/>
      <c r="AS6" s="29"/>
    </row>
    <row r="7" spans="2:45" ht="14.5" x14ac:dyDescent="0.35">
      <c r="B7" s="132" t="s">
        <v>49</v>
      </c>
      <c r="C7"/>
      <c r="D7"/>
      <c r="E7"/>
      <c r="F7"/>
      <c r="G7"/>
      <c r="H7"/>
      <c r="I7"/>
      <c r="M7" s="48"/>
      <c r="N7" s="48"/>
      <c r="O7" s="48"/>
      <c r="R7" s="87"/>
      <c r="S7" s="46"/>
      <c r="T7" s="46"/>
      <c r="U7" s="107"/>
      <c r="V7" s="107"/>
      <c r="W7" s="107"/>
      <c r="X7" s="107"/>
      <c r="Y7" s="107"/>
      <c r="Z7" s="107"/>
      <c r="AA7" s="74"/>
      <c r="AB7" s="74"/>
      <c r="AC7" s="74"/>
      <c r="AD7" s="74"/>
      <c r="AE7" s="74"/>
      <c r="AF7" s="108"/>
      <c r="AG7" s="108"/>
      <c r="AH7" s="74"/>
      <c r="AI7" s="74"/>
      <c r="AJ7" s="74"/>
      <c r="AK7" s="109"/>
      <c r="AL7" s="74"/>
      <c r="AM7" s="109"/>
      <c r="AN7" s="109"/>
      <c r="AO7" s="74"/>
      <c r="AP7" s="74"/>
      <c r="AQ7" s="74"/>
      <c r="AR7" s="87"/>
      <c r="AS7" s="29"/>
    </row>
    <row r="8" spans="2:45" ht="14.5" x14ac:dyDescent="0.3">
      <c r="B8" s="365" t="s">
        <v>90</v>
      </c>
      <c r="C8" s="366"/>
      <c r="D8" s="366"/>
      <c r="E8" s="366"/>
      <c r="F8" s="366"/>
      <c r="G8" s="366"/>
      <c r="H8" s="366"/>
      <c r="I8" s="366"/>
      <c r="J8" s="366"/>
      <c r="K8" s="201"/>
      <c r="L8" s="165"/>
      <c r="M8" s="165"/>
      <c r="N8" s="165"/>
      <c r="O8" s="165"/>
      <c r="R8" s="87"/>
      <c r="S8" s="46"/>
      <c r="T8" s="46"/>
      <c r="U8" s="107"/>
      <c r="V8" s="107"/>
      <c r="W8" s="107"/>
      <c r="X8" s="107"/>
      <c r="Y8" s="107"/>
      <c r="Z8" s="107"/>
      <c r="AA8" s="74"/>
      <c r="AB8" s="74"/>
      <c r="AC8" s="74"/>
      <c r="AD8" s="74"/>
      <c r="AE8" s="74"/>
      <c r="AF8" s="108"/>
      <c r="AG8" s="108"/>
      <c r="AH8" s="74"/>
      <c r="AI8" s="74"/>
      <c r="AJ8" s="74"/>
      <c r="AK8" s="109"/>
      <c r="AL8" s="74"/>
      <c r="AM8" s="109"/>
      <c r="AN8" s="109"/>
      <c r="AO8" s="74"/>
      <c r="AP8" s="74"/>
      <c r="AQ8" s="74"/>
      <c r="AR8" s="87"/>
      <c r="AS8" s="29"/>
    </row>
    <row r="9" spans="2:45" ht="14.5" x14ac:dyDescent="0.3">
      <c r="B9" s="366"/>
      <c r="C9" s="366"/>
      <c r="D9" s="366"/>
      <c r="E9" s="366"/>
      <c r="F9" s="366"/>
      <c r="G9" s="366"/>
      <c r="H9" s="366"/>
      <c r="I9" s="366"/>
      <c r="J9" s="366"/>
      <c r="K9" s="201"/>
      <c r="L9" s="165"/>
      <c r="M9" s="165"/>
      <c r="N9" s="165"/>
      <c r="O9" s="165"/>
      <c r="R9" s="87"/>
      <c r="S9" s="46"/>
      <c r="T9" s="46"/>
      <c r="U9" s="107"/>
      <c r="V9" s="107"/>
      <c r="W9" s="107"/>
      <c r="X9" s="107"/>
      <c r="Y9" s="107"/>
      <c r="Z9" s="107"/>
      <c r="AA9" s="74"/>
      <c r="AB9" s="74"/>
      <c r="AC9" s="74"/>
      <c r="AD9" s="74"/>
      <c r="AE9" s="74"/>
      <c r="AF9" s="108"/>
      <c r="AG9" s="108"/>
      <c r="AH9" s="74"/>
      <c r="AI9" s="74"/>
      <c r="AJ9" s="74"/>
      <c r="AK9" s="109"/>
      <c r="AL9" s="74"/>
      <c r="AM9" s="109"/>
      <c r="AN9" s="109"/>
      <c r="AO9" s="74"/>
      <c r="AP9" s="74"/>
      <c r="AQ9" s="74"/>
      <c r="AR9" s="87"/>
      <c r="AS9" s="29"/>
    </row>
    <row r="10" spans="2:45" ht="14.5" x14ac:dyDescent="0.3">
      <c r="B10" s="366"/>
      <c r="C10" s="366"/>
      <c r="D10" s="366"/>
      <c r="E10" s="366"/>
      <c r="F10" s="366"/>
      <c r="G10" s="366"/>
      <c r="H10" s="366"/>
      <c r="I10" s="366"/>
      <c r="J10" s="366"/>
      <c r="K10" s="201"/>
      <c r="L10" s="165"/>
      <c r="M10" s="165"/>
      <c r="N10" s="165"/>
      <c r="O10" s="165"/>
      <c r="R10" s="87"/>
      <c r="S10" s="46"/>
      <c r="T10" s="46"/>
      <c r="U10" s="107"/>
      <c r="V10" s="107"/>
      <c r="W10" s="107"/>
      <c r="X10" s="107"/>
      <c r="Y10" s="107"/>
      <c r="Z10" s="107"/>
      <c r="AA10" s="74"/>
      <c r="AB10" s="74"/>
      <c r="AC10" s="74"/>
      <c r="AD10" s="74"/>
      <c r="AE10" s="74"/>
      <c r="AF10" s="108"/>
      <c r="AG10" s="108"/>
      <c r="AH10" s="74"/>
      <c r="AI10" s="74"/>
      <c r="AJ10" s="74"/>
      <c r="AK10" s="109"/>
      <c r="AL10" s="74"/>
      <c r="AM10" s="109"/>
      <c r="AN10" s="109"/>
      <c r="AO10" s="74"/>
      <c r="AP10" s="74"/>
      <c r="AQ10" s="74"/>
      <c r="AR10" s="87"/>
      <c r="AS10" s="29"/>
    </row>
    <row r="11" spans="2:45" ht="14.5" x14ac:dyDescent="0.3">
      <c r="B11" s="366"/>
      <c r="C11" s="366"/>
      <c r="D11" s="366"/>
      <c r="E11" s="366"/>
      <c r="F11" s="366"/>
      <c r="G11" s="366"/>
      <c r="H11" s="366"/>
      <c r="I11" s="366"/>
      <c r="J11" s="366"/>
      <c r="K11" s="201"/>
      <c r="L11" s="165"/>
      <c r="M11" s="165"/>
      <c r="N11" s="165"/>
      <c r="O11" s="165"/>
      <c r="R11" s="87"/>
      <c r="S11" s="46"/>
      <c r="T11" s="46"/>
      <c r="U11" s="107"/>
      <c r="V11" s="107"/>
      <c r="W11" s="107"/>
      <c r="X11" s="107"/>
      <c r="Y11" s="107"/>
      <c r="Z11" s="107"/>
      <c r="AA11" s="74"/>
      <c r="AB11" s="74"/>
      <c r="AC11" s="74"/>
      <c r="AD11" s="74"/>
      <c r="AE11" s="74"/>
      <c r="AF11" s="108"/>
      <c r="AG11" s="108"/>
      <c r="AH11" s="74"/>
      <c r="AI11" s="74"/>
      <c r="AJ11" s="74"/>
      <c r="AK11" s="109"/>
      <c r="AL11" s="74"/>
      <c r="AM11" s="109"/>
      <c r="AN11" s="109"/>
      <c r="AO11" s="74"/>
      <c r="AP11" s="74"/>
      <c r="AQ11" s="74"/>
      <c r="AR11" s="87"/>
      <c r="AS11" s="29"/>
    </row>
    <row r="12" spans="2:45" ht="14.5" x14ac:dyDescent="0.3">
      <c r="B12" s="366"/>
      <c r="C12" s="366"/>
      <c r="D12" s="366"/>
      <c r="E12" s="366"/>
      <c r="F12" s="366"/>
      <c r="G12" s="366"/>
      <c r="H12" s="366"/>
      <c r="I12" s="366"/>
      <c r="J12" s="366"/>
      <c r="K12" s="201"/>
      <c r="L12" s="165"/>
      <c r="M12" s="165"/>
      <c r="N12" s="165"/>
      <c r="O12" s="165"/>
      <c r="R12" s="87"/>
      <c r="S12" s="46"/>
      <c r="T12" s="46"/>
      <c r="U12" s="107"/>
      <c r="V12" s="107"/>
      <c r="W12" s="107"/>
      <c r="X12" s="107"/>
      <c r="Y12" s="107"/>
      <c r="Z12" s="107"/>
      <c r="AA12" s="74"/>
      <c r="AB12" s="74"/>
      <c r="AC12" s="74"/>
      <c r="AD12" s="74"/>
      <c r="AE12" s="74"/>
      <c r="AF12" s="108"/>
      <c r="AG12" s="108"/>
      <c r="AH12" s="74"/>
      <c r="AI12" s="74"/>
      <c r="AJ12" s="74"/>
      <c r="AK12" s="109"/>
      <c r="AL12" s="74"/>
      <c r="AM12" s="109"/>
      <c r="AN12" s="109"/>
      <c r="AO12" s="74"/>
      <c r="AP12" s="74"/>
      <c r="AQ12" s="74"/>
      <c r="AR12" s="87"/>
      <c r="AS12" s="29"/>
    </row>
    <row r="13" spans="2:45" ht="14.5" x14ac:dyDescent="0.35">
      <c r="B13" s="175" t="s">
        <v>62</v>
      </c>
      <c r="C13" s="367" t="s">
        <v>65</v>
      </c>
      <c r="D13" s="368"/>
      <c r="E13" s="369"/>
      <c r="F13" s="165"/>
      <c r="G13" s="165"/>
      <c r="I13" s="165"/>
      <c r="J13" s="165"/>
      <c r="K13" s="201"/>
      <c r="L13" s="165"/>
      <c r="M13" s="165"/>
      <c r="N13" s="165"/>
      <c r="O13" s="165"/>
      <c r="R13" s="87"/>
      <c r="S13" s="46"/>
      <c r="T13" s="46"/>
      <c r="U13" s="107"/>
      <c r="V13" s="107"/>
      <c r="W13" s="107"/>
      <c r="X13" s="107"/>
      <c r="Y13" s="107"/>
      <c r="Z13" s="107"/>
      <c r="AA13" s="74"/>
      <c r="AB13" s="74"/>
      <c r="AC13" s="74"/>
      <c r="AD13" s="74"/>
      <c r="AE13" s="74"/>
      <c r="AF13" s="108"/>
      <c r="AG13" s="108"/>
      <c r="AH13" s="74"/>
      <c r="AI13" s="74"/>
      <c r="AJ13" s="74"/>
      <c r="AK13" s="109"/>
      <c r="AL13" s="74"/>
      <c r="AM13" s="109"/>
      <c r="AN13" s="109"/>
      <c r="AO13" s="74"/>
      <c r="AP13" s="74"/>
      <c r="AQ13" s="74"/>
      <c r="AR13" s="87"/>
      <c r="AS13" s="29"/>
    </row>
    <row r="14" spans="2:45" ht="14.5" x14ac:dyDescent="0.35">
      <c r="B14" s="176" t="s">
        <v>61</v>
      </c>
      <c r="C14" s="14"/>
      <c r="D14" s="177">
        <v>19.5</v>
      </c>
      <c r="E14"/>
      <c r="F14"/>
      <c r="G14"/>
      <c r="H14"/>
      <c r="I14"/>
      <c r="M14" s="48"/>
      <c r="N14" s="48"/>
      <c r="O14" s="48"/>
      <c r="R14" s="87"/>
      <c r="S14" s="46"/>
      <c r="T14" s="46"/>
      <c r="U14" s="107"/>
      <c r="V14" s="107"/>
      <c r="W14" s="107"/>
      <c r="X14" s="107"/>
      <c r="Y14" s="107"/>
      <c r="Z14" s="107"/>
      <c r="AA14" s="74"/>
      <c r="AB14" s="74"/>
      <c r="AC14" s="74"/>
      <c r="AD14" s="74"/>
      <c r="AE14" s="74"/>
      <c r="AF14" s="108"/>
      <c r="AG14" s="108"/>
      <c r="AH14" s="74"/>
      <c r="AI14" s="74"/>
      <c r="AJ14" s="74"/>
      <c r="AK14" s="109"/>
      <c r="AL14" s="74"/>
      <c r="AM14" s="109"/>
      <c r="AN14" s="109"/>
      <c r="AO14" s="74"/>
      <c r="AP14" s="74"/>
      <c r="AQ14" s="74"/>
      <c r="AR14" s="87"/>
      <c r="AS14" s="29"/>
    </row>
    <row r="15" spans="2:45" ht="14.5" customHeight="1" x14ac:dyDescent="0.35">
      <c r="B15" s="148" t="s">
        <v>26</v>
      </c>
      <c r="C15" s="149"/>
      <c r="D15" s="150">
        <v>40</v>
      </c>
      <c r="E15"/>
      <c r="F15"/>
      <c r="G15"/>
      <c r="H15"/>
      <c r="J15" s="46"/>
      <c r="M15" s="48"/>
      <c r="N15" s="48"/>
      <c r="O15" s="48"/>
      <c r="R15" s="87"/>
      <c r="S15" s="46"/>
      <c r="T15" s="46"/>
      <c r="U15" s="107"/>
      <c r="V15" s="107"/>
      <c r="W15" s="107"/>
      <c r="X15" s="107"/>
      <c r="Y15" s="107"/>
      <c r="Z15" s="107"/>
      <c r="AA15" s="74"/>
      <c r="AB15" s="74"/>
      <c r="AC15" s="74"/>
      <c r="AD15" s="74"/>
      <c r="AE15" s="74"/>
      <c r="AF15" s="108"/>
      <c r="AG15" s="108"/>
      <c r="AH15" s="74"/>
      <c r="AI15" s="74"/>
      <c r="AJ15" s="74"/>
      <c r="AK15" s="109"/>
      <c r="AL15" s="74"/>
      <c r="AM15" s="109"/>
      <c r="AN15" s="109"/>
      <c r="AO15" s="74"/>
      <c r="AP15" s="74"/>
      <c r="AQ15" s="74"/>
      <c r="AR15" s="87"/>
      <c r="AS15" s="29"/>
    </row>
    <row r="16" spans="2:45" ht="15" x14ac:dyDescent="0.3">
      <c r="B16" s="138" t="s">
        <v>0</v>
      </c>
      <c r="C16" s="139" t="s">
        <v>57</v>
      </c>
      <c r="D16" s="139" t="s">
        <v>58</v>
      </c>
      <c r="E16" s="139" t="s">
        <v>7</v>
      </c>
      <c r="F16" s="139" t="s">
        <v>8</v>
      </c>
      <c r="G16" s="139" t="s">
        <v>60</v>
      </c>
      <c r="H16" s="184" t="s">
        <v>34</v>
      </c>
      <c r="I16" s="184" t="s">
        <v>59</v>
      </c>
      <c r="J16" s="133"/>
      <c r="K16" s="133"/>
      <c r="M16" s="48"/>
      <c r="N16" s="48"/>
      <c r="O16" s="48"/>
      <c r="R16" s="87"/>
      <c r="S16" s="46"/>
      <c r="T16" s="46"/>
      <c r="U16" s="107"/>
      <c r="V16" s="107"/>
      <c r="W16" s="107"/>
      <c r="X16" s="107"/>
      <c r="Y16" s="107"/>
      <c r="Z16" s="107"/>
      <c r="AA16" s="74"/>
      <c r="AB16" s="74"/>
      <c r="AC16" s="74"/>
      <c r="AD16" s="74"/>
      <c r="AE16" s="74"/>
      <c r="AF16" s="108"/>
      <c r="AG16" s="108"/>
      <c r="AH16" s="74"/>
      <c r="AI16" s="74"/>
      <c r="AJ16" s="74"/>
      <c r="AK16" s="109"/>
      <c r="AL16" s="74"/>
      <c r="AM16" s="109"/>
      <c r="AN16" s="109"/>
      <c r="AO16" s="74"/>
      <c r="AP16" s="74"/>
      <c r="AQ16" s="74"/>
      <c r="AR16" s="87"/>
      <c r="AS16" s="29"/>
    </row>
    <row r="17" spans="2:45" ht="14.5" x14ac:dyDescent="0.35">
      <c r="B17" s="135" t="s">
        <v>2</v>
      </c>
      <c r="C17" s="159">
        <v>1245.839539481269</v>
      </c>
      <c r="D17" s="160">
        <f>C17/D$15*100</f>
        <v>3114.5988487031723</v>
      </c>
      <c r="E17" s="140">
        <v>161.96690006892601</v>
      </c>
      <c r="F17" s="141">
        <v>223.67053485749901</v>
      </c>
      <c r="G17" s="185"/>
      <c r="H17" s="21">
        <f t="shared" ref="H17:H42" si="0">(D17*(E17/E$21+F17/F$21)/(D$21*((E17/E$21)^2+(F17/F$21)^2)))</f>
        <v>1.388857688090626</v>
      </c>
      <c r="I17" s="118">
        <f>(C17*(E17/E$34+F17/F$34)/(C$34*((E17/E$34)^2+(F17/F$34)^2)))</f>
        <v>2.137267151452388</v>
      </c>
      <c r="J17" s="123"/>
      <c r="K17" s="123"/>
      <c r="M17" s="48"/>
      <c r="N17" s="48"/>
      <c r="O17" s="48"/>
      <c r="R17" s="87"/>
      <c r="S17" s="46"/>
      <c r="T17" s="46"/>
      <c r="U17" s="107"/>
      <c r="V17" s="107"/>
      <c r="W17" s="107"/>
      <c r="X17" s="107"/>
      <c r="Y17" s="107"/>
      <c r="Z17" s="107"/>
      <c r="AA17" s="74"/>
      <c r="AB17" s="74"/>
      <c r="AC17" s="74"/>
      <c r="AD17" s="74"/>
      <c r="AE17" s="74"/>
      <c r="AF17" s="108"/>
      <c r="AG17" s="108"/>
      <c r="AH17" s="74"/>
      <c r="AI17" s="74"/>
      <c r="AJ17" s="74"/>
      <c r="AK17" s="109"/>
      <c r="AL17" s="74"/>
      <c r="AM17" s="109"/>
      <c r="AN17" s="109"/>
      <c r="AO17" s="74"/>
      <c r="AP17" s="74"/>
      <c r="AQ17" s="74"/>
      <c r="AR17" s="87"/>
      <c r="AS17" s="29"/>
    </row>
    <row r="18" spans="2:45" ht="14.5" x14ac:dyDescent="0.35">
      <c r="B18" s="134" t="s">
        <v>45</v>
      </c>
      <c r="C18" s="159">
        <v>147.05641137781933</v>
      </c>
      <c r="D18" s="160">
        <f>C18/D$15*100</f>
        <v>367.64102844454834</v>
      </c>
      <c r="E18" s="142">
        <v>21.9388292649177</v>
      </c>
      <c r="F18" s="143">
        <v>48.562996343754101</v>
      </c>
      <c r="G18" s="167"/>
      <c r="H18" s="22">
        <f t="shared" si="0"/>
        <v>0.80102999582133028</v>
      </c>
      <c r="I18" s="119">
        <f>(C18*(E18/E$34+F18/F$34)/(C$34*((E18/E$34)^2+(F18/F$34)^2)))</f>
        <v>1.2294749741231139</v>
      </c>
      <c r="J18" s="123"/>
      <c r="K18" s="123"/>
      <c r="M18" s="48"/>
      <c r="N18" s="48"/>
      <c r="O18" s="48"/>
      <c r="R18" s="87"/>
      <c r="S18" s="46"/>
      <c r="T18" s="46"/>
      <c r="U18" s="107"/>
      <c r="V18" s="107"/>
      <c r="W18" s="107"/>
      <c r="X18" s="107"/>
      <c r="Y18" s="107"/>
      <c r="Z18" s="107"/>
      <c r="AA18" s="74"/>
      <c r="AB18" s="74"/>
      <c r="AC18" s="74"/>
      <c r="AD18" s="74"/>
      <c r="AE18" s="74"/>
      <c r="AF18" s="108"/>
      <c r="AG18" s="108"/>
      <c r="AH18" s="74"/>
      <c r="AI18" s="74"/>
      <c r="AJ18" s="74"/>
      <c r="AK18" s="109"/>
      <c r="AL18" s="74"/>
      <c r="AM18" s="109"/>
      <c r="AN18" s="109"/>
      <c r="AO18" s="74"/>
      <c r="AP18" s="74"/>
      <c r="AQ18" s="74"/>
      <c r="AR18" s="87"/>
      <c r="AS18" s="29"/>
    </row>
    <row r="19" spans="2:45" ht="14.5" x14ac:dyDescent="0.35">
      <c r="B19" s="135" t="s">
        <v>4</v>
      </c>
      <c r="C19" s="159">
        <v>536.02105364866622</v>
      </c>
      <c r="D19" s="160">
        <f>C19/D$15*100</f>
        <v>1340.0526341216655</v>
      </c>
      <c r="E19" s="142">
        <v>82.697751821764101</v>
      </c>
      <c r="F19" s="143">
        <v>85.392403421856102</v>
      </c>
      <c r="G19" s="167"/>
      <c r="H19" s="22">
        <f t="shared" si="0"/>
        <v>1.4115851456017416</v>
      </c>
      <c r="I19" s="119">
        <f>(C19*(E19/E$34+F19/F$34)/(C$34*((E19/E$34)^2+(F19/F$34)^2)))</f>
        <v>2.177252425100793</v>
      </c>
      <c r="J19" s="123"/>
      <c r="K19" s="123"/>
      <c r="M19" s="48"/>
      <c r="N19" s="48"/>
      <c r="O19" s="48"/>
      <c r="R19" s="87"/>
      <c r="S19" s="46"/>
      <c r="T19" s="46"/>
      <c r="U19" s="107"/>
      <c r="V19" s="107"/>
      <c r="W19" s="107"/>
      <c r="X19" s="107"/>
      <c r="Y19" s="107"/>
      <c r="Z19" s="107"/>
      <c r="AA19" s="74"/>
      <c r="AB19" s="74"/>
      <c r="AC19" s="74"/>
      <c r="AD19" s="74"/>
      <c r="AE19" s="74"/>
      <c r="AF19" s="108"/>
      <c r="AG19" s="108"/>
      <c r="AH19" s="74"/>
      <c r="AI19" s="74"/>
      <c r="AJ19" s="74"/>
      <c r="AK19" s="109"/>
      <c r="AL19" s="74"/>
      <c r="AM19" s="109"/>
      <c r="AN19" s="109"/>
      <c r="AO19" s="74"/>
      <c r="AP19" s="74"/>
      <c r="AQ19" s="74"/>
      <c r="AR19" s="87"/>
      <c r="AS19" s="29"/>
    </row>
    <row r="20" spans="2:45" ht="14.5" x14ac:dyDescent="0.35">
      <c r="B20" s="135" t="s">
        <v>5</v>
      </c>
      <c r="C20" s="159">
        <v>169.58537179415595</v>
      </c>
      <c r="D20" s="160">
        <f>C20/D$15*100</f>
        <v>423.96342948538984</v>
      </c>
      <c r="E20" s="142">
        <v>25.56365343381</v>
      </c>
      <c r="F20" s="143">
        <v>25.645226539526298</v>
      </c>
      <c r="G20" s="167"/>
      <c r="H20" s="22">
        <f t="shared" si="0"/>
        <v>1.4669384845128319</v>
      </c>
      <c r="I20" s="119">
        <f>(C20*(E20/E$34+F20/F$34)/(C$34*((E20/E$34)^2+(F20/F$34)^2)))</f>
        <v>2.2631785292291724</v>
      </c>
      <c r="J20" s="123"/>
      <c r="K20" s="123"/>
      <c r="M20" s="48"/>
      <c r="N20" s="48"/>
      <c r="O20" s="48"/>
      <c r="R20" s="87"/>
      <c r="S20" s="46"/>
      <c r="T20" s="46"/>
      <c r="U20" s="107"/>
      <c r="V20" s="107"/>
      <c r="W20" s="107"/>
      <c r="X20" s="107"/>
      <c r="Y20" s="107"/>
      <c r="Z20" s="107"/>
      <c r="AA20" s="74"/>
      <c r="AB20" s="74"/>
      <c r="AC20" s="74"/>
      <c r="AD20" s="74"/>
      <c r="AE20" s="74"/>
      <c r="AF20" s="108"/>
      <c r="AG20" s="108"/>
      <c r="AH20" s="74"/>
      <c r="AI20" s="74"/>
      <c r="AJ20" s="74"/>
      <c r="AK20" s="109"/>
      <c r="AL20" s="74"/>
      <c r="AM20" s="109"/>
      <c r="AN20" s="109"/>
      <c r="AO20" s="74"/>
      <c r="AP20" s="74"/>
      <c r="AQ20" s="74"/>
      <c r="AR20" s="87"/>
      <c r="AS20" s="29"/>
    </row>
    <row r="21" spans="2:45" ht="14.5" x14ac:dyDescent="0.35">
      <c r="B21" s="136" t="s">
        <v>6</v>
      </c>
      <c r="C21" s="159"/>
      <c r="D21" s="163">
        <v>789270</v>
      </c>
      <c r="E21" s="144">
        <v>70651.736064646204</v>
      </c>
      <c r="F21" s="145">
        <v>69231.627850057805</v>
      </c>
      <c r="G21" s="186"/>
      <c r="H21" s="22">
        <f t="shared" si="0"/>
        <v>1</v>
      </c>
      <c r="I21" s="119"/>
      <c r="J21" s="123"/>
      <c r="K21" s="123"/>
      <c r="M21" s="48"/>
      <c r="N21" s="48"/>
      <c r="O21" s="48"/>
      <c r="R21" s="87"/>
      <c r="S21" s="46"/>
      <c r="T21" s="46"/>
      <c r="U21" s="107"/>
      <c r="V21" s="107"/>
      <c r="W21" s="107"/>
      <c r="X21" s="107"/>
      <c r="Y21" s="107"/>
      <c r="Z21" s="107"/>
      <c r="AA21" s="74"/>
      <c r="AB21" s="74"/>
      <c r="AC21" s="74"/>
      <c r="AD21" s="74"/>
      <c r="AE21" s="74"/>
      <c r="AF21" s="108"/>
      <c r="AG21" s="108"/>
      <c r="AH21" s="74"/>
      <c r="AI21" s="74"/>
      <c r="AJ21" s="74"/>
      <c r="AK21" s="109"/>
      <c r="AL21" s="74"/>
      <c r="AM21" s="109"/>
      <c r="AN21" s="109"/>
      <c r="AO21" s="74"/>
      <c r="AP21" s="74"/>
      <c r="AQ21" s="74"/>
      <c r="AR21" s="87"/>
      <c r="AS21" s="29"/>
    </row>
    <row r="22" spans="2:45" ht="14.5" x14ac:dyDescent="0.35">
      <c r="B22" s="134" t="s">
        <v>46</v>
      </c>
      <c r="C22" s="159">
        <v>3.8620573241449292</v>
      </c>
      <c r="D22" s="160">
        <f t="shared" ref="D22:D42" si="1">C22/D$15*100</f>
        <v>9.6551433103623232</v>
      </c>
      <c r="E22" s="142">
        <v>1.2346430595465301</v>
      </c>
      <c r="F22" s="143">
        <v>1.1705538879769799</v>
      </c>
      <c r="G22" s="167"/>
      <c r="H22" s="22">
        <f t="shared" si="0"/>
        <v>0.71138235532532645</v>
      </c>
      <c r="I22" s="119">
        <f t="shared" ref="I22:I42" si="2">(C22*(E22/E$34+F22/F$34)/(C$34*((E22/E$34)^2+(F22/F$34)^2)))</f>
        <v>1.098035143091435</v>
      </c>
      <c r="J22" s="123"/>
      <c r="K22" s="123"/>
      <c r="M22" s="48"/>
      <c r="N22" s="48"/>
      <c r="O22" s="48"/>
      <c r="R22" s="87"/>
      <c r="S22" s="46"/>
      <c r="T22" s="46"/>
      <c r="U22" s="107"/>
      <c r="V22" s="107"/>
      <c r="W22" s="107"/>
      <c r="X22" s="107"/>
      <c r="Y22" s="107"/>
      <c r="Z22" s="107"/>
      <c r="AA22" s="74"/>
      <c r="AB22" s="74"/>
      <c r="AC22" s="74"/>
      <c r="AD22" s="74"/>
      <c r="AE22" s="74"/>
      <c r="AF22" s="108"/>
      <c r="AG22" s="108"/>
      <c r="AH22" s="74"/>
      <c r="AI22" s="74"/>
      <c r="AJ22" s="74"/>
      <c r="AK22" s="109"/>
      <c r="AL22" s="74"/>
      <c r="AM22" s="109"/>
      <c r="AN22" s="109"/>
      <c r="AO22" s="74"/>
      <c r="AP22" s="74"/>
      <c r="AQ22" s="74"/>
      <c r="AR22" s="87"/>
      <c r="AS22" s="29"/>
    </row>
    <row r="23" spans="2:45" ht="14.5" x14ac:dyDescent="0.35">
      <c r="B23" s="134" t="s">
        <v>14</v>
      </c>
      <c r="C23" s="159">
        <v>0.22240513070086423</v>
      </c>
      <c r="D23" s="160">
        <f t="shared" si="1"/>
        <v>0.55601282675216057</v>
      </c>
      <c r="E23" s="142">
        <v>7.1099656991278903E-2</v>
      </c>
      <c r="F23" s="143">
        <v>0.111653015414207</v>
      </c>
      <c r="G23" s="167"/>
      <c r="H23" s="22">
        <f t="shared" si="0"/>
        <v>0.51057619494800832</v>
      </c>
      <c r="I23" s="119">
        <f t="shared" si="2"/>
        <v>0.78502187547109503</v>
      </c>
      <c r="J23" s="123"/>
      <c r="K23" s="123"/>
      <c r="M23" s="48"/>
      <c r="N23" s="48"/>
      <c r="O23" s="48"/>
      <c r="R23" s="87"/>
      <c r="S23" s="46"/>
      <c r="T23" s="46"/>
      <c r="U23" s="107"/>
      <c r="V23" s="107"/>
      <c r="W23" s="107"/>
      <c r="X23" s="107"/>
      <c r="Y23" s="107"/>
      <c r="Z23" s="107"/>
      <c r="AA23" s="74"/>
      <c r="AB23" s="74"/>
      <c r="AC23" s="74"/>
      <c r="AD23" s="74"/>
      <c r="AE23" s="74"/>
      <c r="AF23" s="108"/>
      <c r="AG23" s="108"/>
      <c r="AH23" s="74"/>
      <c r="AI23" s="74"/>
      <c r="AJ23" s="74"/>
      <c r="AK23" s="109"/>
      <c r="AL23" s="74"/>
      <c r="AM23" s="109"/>
      <c r="AN23" s="109"/>
      <c r="AO23" s="74"/>
      <c r="AP23" s="74"/>
      <c r="AQ23" s="74"/>
      <c r="AR23" s="87"/>
      <c r="AS23" s="29"/>
    </row>
    <row r="24" spans="2:45" ht="14.5" x14ac:dyDescent="0.35">
      <c r="B24" s="134" t="s">
        <v>47</v>
      </c>
      <c r="C24" s="159">
        <v>1.5130061040660596</v>
      </c>
      <c r="D24" s="160">
        <f t="shared" si="1"/>
        <v>3.7825152601651495</v>
      </c>
      <c r="E24" s="142">
        <v>0.48368585151704901</v>
      </c>
      <c r="F24" s="143">
        <v>0.48835025923715902</v>
      </c>
      <c r="G24" s="167"/>
      <c r="H24" s="22">
        <f t="shared" si="0"/>
        <v>0.68940715746790371</v>
      </c>
      <c r="I24" s="119">
        <f t="shared" si="2"/>
        <v>1.0635534383156928</v>
      </c>
      <c r="J24" s="123"/>
      <c r="K24" s="123"/>
      <c r="M24" s="48"/>
      <c r="N24" s="48"/>
      <c r="O24" s="48"/>
      <c r="R24" s="87"/>
      <c r="S24" s="46"/>
      <c r="T24" s="46"/>
      <c r="U24" s="107"/>
      <c r="V24" s="107"/>
      <c r="W24" s="107"/>
      <c r="X24" s="107"/>
      <c r="Y24" s="107"/>
      <c r="Z24" s="107"/>
      <c r="AA24" s="74"/>
      <c r="AB24" s="74"/>
      <c r="AC24" s="74"/>
      <c r="AD24" s="74"/>
      <c r="AE24" s="74"/>
      <c r="AF24" s="108"/>
      <c r="AG24" s="108"/>
      <c r="AH24" s="74"/>
      <c r="AI24" s="74"/>
      <c r="AJ24" s="74"/>
      <c r="AK24" s="109"/>
      <c r="AL24" s="74"/>
      <c r="AM24" s="109"/>
      <c r="AN24" s="109"/>
      <c r="AO24" s="74"/>
      <c r="AP24" s="74"/>
      <c r="AQ24" s="74"/>
      <c r="AR24" s="87"/>
      <c r="AS24" s="29"/>
    </row>
    <row r="25" spans="2:45" ht="14.5" x14ac:dyDescent="0.35">
      <c r="B25" s="135" t="s">
        <v>15</v>
      </c>
      <c r="C25" s="159">
        <v>146.94925450714808</v>
      </c>
      <c r="D25" s="160">
        <f t="shared" si="1"/>
        <v>367.37313626787022</v>
      </c>
      <c r="E25" s="142">
        <v>40.071955169852899</v>
      </c>
      <c r="F25" s="143">
        <v>40.054483385864302</v>
      </c>
      <c r="G25" s="167"/>
      <c r="H25" s="22">
        <f t="shared" si="0"/>
        <v>0.81242891191354916</v>
      </c>
      <c r="I25" s="119">
        <f t="shared" si="2"/>
        <v>1.2534456219689893</v>
      </c>
      <c r="J25" s="123"/>
      <c r="K25" s="123"/>
      <c r="M25" s="48"/>
      <c r="N25" s="48"/>
      <c r="O25" s="48"/>
      <c r="R25" s="87"/>
      <c r="S25" s="46"/>
      <c r="T25" s="46"/>
      <c r="U25" s="107"/>
      <c r="V25" s="107"/>
      <c r="W25" s="107"/>
      <c r="X25" s="107"/>
      <c r="Y25" s="107"/>
      <c r="Z25" s="107"/>
      <c r="AA25" s="74"/>
      <c r="AB25" s="74"/>
      <c r="AC25" s="74"/>
      <c r="AD25" s="74"/>
      <c r="AE25" s="74"/>
      <c r="AF25" s="108"/>
      <c r="AG25" s="108"/>
      <c r="AH25" s="74"/>
      <c r="AI25" s="74"/>
      <c r="AJ25" s="74"/>
      <c r="AK25" s="109"/>
      <c r="AL25" s="74"/>
      <c r="AM25" s="109"/>
      <c r="AN25" s="109"/>
      <c r="AO25" s="74"/>
      <c r="AP25" s="74"/>
      <c r="AQ25" s="74"/>
      <c r="AR25" s="87"/>
      <c r="AS25" s="29"/>
    </row>
    <row r="26" spans="2:45" ht="14.5" x14ac:dyDescent="0.35">
      <c r="B26" s="135" t="s">
        <v>1</v>
      </c>
      <c r="C26" s="159">
        <v>189.06921773391406</v>
      </c>
      <c r="D26" s="160">
        <f t="shared" si="1"/>
        <v>472.67304433478517</v>
      </c>
      <c r="E26" s="142">
        <v>59.646289852345902</v>
      </c>
      <c r="F26" s="143">
        <v>58.567977527783299</v>
      </c>
      <c r="G26" s="167"/>
      <c r="H26" s="22">
        <f t="shared" si="0"/>
        <v>0.70864121605964392</v>
      </c>
      <c r="I26" s="119">
        <f t="shared" si="2"/>
        <v>1.0934817680179736</v>
      </c>
      <c r="J26" s="123"/>
      <c r="K26" s="123"/>
      <c r="M26" s="48"/>
      <c r="N26" s="48"/>
      <c r="O26" s="48"/>
      <c r="R26" s="87"/>
      <c r="S26" s="46"/>
      <c r="T26" s="46"/>
      <c r="U26" s="107"/>
      <c r="V26" s="107"/>
      <c r="W26" s="107"/>
      <c r="X26" s="107"/>
      <c r="Y26" s="107"/>
      <c r="Z26" s="107"/>
      <c r="AA26" s="74"/>
      <c r="AB26" s="74"/>
      <c r="AC26" s="74"/>
      <c r="AD26" s="74"/>
      <c r="AE26" s="74"/>
      <c r="AF26" s="108"/>
      <c r="AG26" s="108"/>
      <c r="AH26" s="74"/>
      <c r="AI26" s="74"/>
      <c r="AJ26" s="74"/>
      <c r="AK26" s="109"/>
      <c r="AL26" s="74"/>
      <c r="AM26" s="109"/>
      <c r="AN26" s="109"/>
      <c r="AO26" s="74"/>
      <c r="AP26" s="74"/>
      <c r="AQ26" s="74"/>
      <c r="AR26" s="87"/>
      <c r="AS26" s="29"/>
    </row>
    <row r="27" spans="2:45" ht="14.5" x14ac:dyDescent="0.35">
      <c r="B27" s="134" t="s">
        <v>16</v>
      </c>
      <c r="C27" s="159">
        <v>2.3786653446825605</v>
      </c>
      <c r="D27" s="160">
        <f t="shared" si="1"/>
        <v>5.9466633617064018</v>
      </c>
      <c r="E27" s="142">
        <v>0.76042440914478004</v>
      </c>
      <c r="F27" s="143">
        <v>0.79818114899496095</v>
      </c>
      <c r="G27" s="167"/>
      <c r="H27" s="22">
        <f t="shared" si="0"/>
        <v>0.6751703638612685</v>
      </c>
      <c r="I27" s="119">
        <f t="shared" si="2"/>
        <v>1.0412512369361859</v>
      </c>
      <c r="J27" s="123"/>
      <c r="K27" s="123"/>
      <c r="M27" s="48"/>
      <c r="N27" s="48"/>
      <c r="O27" s="48"/>
      <c r="R27" s="87"/>
      <c r="S27" s="46"/>
      <c r="T27" s="46"/>
      <c r="U27" s="107"/>
      <c r="V27" s="107"/>
      <c r="W27" s="107"/>
      <c r="X27" s="107"/>
      <c r="Y27" s="107"/>
      <c r="Z27" s="107"/>
      <c r="AA27" s="74"/>
      <c r="AB27" s="74"/>
      <c r="AC27" s="74"/>
      <c r="AD27" s="74"/>
      <c r="AE27" s="74"/>
      <c r="AF27" s="108"/>
      <c r="AG27" s="108"/>
      <c r="AH27" s="74"/>
      <c r="AI27" s="74"/>
      <c r="AJ27" s="74"/>
      <c r="AK27" s="109"/>
      <c r="AL27" s="74"/>
      <c r="AM27" s="109"/>
      <c r="AN27" s="109"/>
      <c r="AO27" s="74"/>
      <c r="AP27" s="74"/>
      <c r="AQ27" s="74"/>
      <c r="AR27" s="87"/>
      <c r="AS27" s="29"/>
    </row>
    <row r="28" spans="2:45" ht="14.5" x14ac:dyDescent="0.35">
      <c r="B28" s="134" t="s">
        <v>48</v>
      </c>
      <c r="C28" s="159">
        <v>11.860392730414759</v>
      </c>
      <c r="D28" s="160">
        <f t="shared" si="1"/>
        <v>29.650981826036897</v>
      </c>
      <c r="E28" s="142">
        <v>3.7915935313945099</v>
      </c>
      <c r="F28" s="143">
        <v>3.2365754247915102</v>
      </c>
      <c r="G28" s="167"/>
      <c r="H28" s="22">
        <f t="shared" si="0"/>
        <v>0.74470741062332357</v>
      </c>
      <c r="I28" s="119">
        <f t="shared" si="2"/>
        <v>1.1504790022811977</v>
      </c>
      <c r="J28" s="123"/>
      <c r="K28" s="123"/>
      <c r="M28" s="48"/>
      <c r="N28" s="48"/>
      <c r="O28" s="48"/>
      <c r="R28" s="87"/>
      <c r="S28" s="46"/>
      <c r="T28" s="46"/>
      <c r="U28" s="107"/>
      <c r="V28" s="107"/>
      <c r="W28" s="107"/>
      <c r="X28" s="107"/>
      <c r="Y28" s="107"/>
      <c r="Z28" s="107"/>
      <c r="AA28" s="74"/>
      <c r="AB28" s="74"/>
      <c r="AC28" s="74"/>
      <c r="AD28" s="74"/>
      <c r="AE28" s="74"/>
      <c r="AF28" s="108"/>
      <c r="AG28" s="108"/>
      <c r="AH28" s="74"/>
      <c r="AI28" s="74"/>
      <c r="AJ28" s="74"/>
      <c r="AK28" s="109"/>
      <c r="AL28" s="74"/>
      <c r="AM28" s="109"/>
      <c r="AN28" s="109"/>
      <c r="AO28" s="74"/>
      <c r="AP28" s="74"/>
      <c r="AQ28" s="74"/>
      <c r="AR28" s="87"/>
      <c r="AS28" s="29"/>
    </row>
    <row r="29" spans="2:45" ht="14.5" x14ac:dyDescent="0.35">
      <c r="B29" s="135" t="s">
        <v>17</v>
      </c>
      <c r="C29" s="159">
        <v>260.61157420004707</v>
      </c>
      <c r="D29" s="160">
        <f t="shared" si="1"/>
        <v>651.52893550011765</v>
      </c>
      <c r="E29" s="142">
        <v>89.3274951834224</v>
      </c>
      <c r="F29" s="143">
        <v>86.809524108443298</v>
      </c>
      <c r="G29" s="167"/>
      <c r="H29" s="22">
        <f t="shared" si="0"/>
        <v>0.65559306391946914</v>
      </c>
      <c r="I29" s="119">
        <f t="shared" si="2"/>
        <v>1.0117128898686283</v>
      </c>
      <c r="J29" s="123"/>
      <c r="K29" s="123"/>
      <c r="M29" s="48"/>
      <c r="N29" s="48"/>
      <c r="O29" s="48"/>
      <c r="R29" s="87"/>
      <c r="S29" s="46"/>
      <c r="T29" s="46"/>
      <c r="U29" s="107"/>
      <c r="V29" s="107"/>
      <c r="W29" s="107"/>
      <c r="X29" s="107"/>
      <c r="Y29" s="107"/>
      <c r="Z29" s="107"/>
      <c r="AA29" s="74"/>
      <c r="AB29" s="74"/>
      <c r="AC29" s="74"/>
      <c r="AD29" s="74"/>
      <c r="AE29" s="74"/>
      <c r="AF29" s="108"/>
      <c r="AG29" s="108"/>
      <c r="AH29" s="74"/>
      <c r="AI29" s="74"/>
      <c r="AJ29" s="74"/>
      <c r="AK29" s="109"/>
      <c r="AL29" s="74"/>
      <c r="AM29" s="109"/>
      <c r="AN29" s="109"/>
      <c r="AO29" s="74"/>
      <c r="AP29" s="74"/>
      <c r="AQ29" s="74"/>
      <c r="AR29" s="87"/>
      <c r="AS29" s="29"/>
    </row>
    <row r="30" spans="2:45" ht="14.5" x14ac:dyDescent="0.35">
      <c r="B30" s="135" t="s">
        <v>18</v>
      </c>
      <c r="C30" s="159">
        <v>1190.7144412458767</v>
      </c>
      <c r="D30" s="160">
        <f t="shared" si="1"/>
        <v>2976.7861031146917</v>
      </c>
      <c r="E30" s="142">
        <v>400.38664990920699</v>
      </c>
      <c r="F30" s="143">
        <v>387.35957261296898</v>
      </c>
      <c r="G30" s="167"/>
      <c r="H30" s="22">
        <f t="shared" si="0"/>
        <v>0.66974921994152103</v>
      </c>
      <c r="I30" s="119">
        <f t="shared" si="2"/>
        <v>1.0335976803912335</v>
      </c>
      <c r="J30" s="123"/>
      <c r="K30" s="123"/>
      <c r="M30" s="48"/>
      <c r="N30" s="48"/>
      <c r="O30" s="48"/>
      <c r="R30" s="87"/>
      <c r="S30" s="46"/>
      <c r="T30" s="46"/>
      <c r="U30" s="107"/>
      <c r="V30" s="107"/>
      <c r="W30" s="107"/>
      <c r="X30" s="107"/>
      <c r="Y30" s="107"/>
      <c r="Z30" s="107"/>
      <c r="AA30" s="74"/>
      <c r="AB30" s="74"/>
      <c r="AC30" s="74"/>
      <c r="AD30" s="74"/>
      <c r="AE30" s="74"/>
      <c r="AF30" s="108"/>
      <c r="AG30" s="108"/>
      <c r="AH30" s="74"/>
      <c r="AI30" s="74"/>
      <c r="AJ30" s="74"/>
      <c r="AK30" s="109"/>
      <c r="AL30" s="74"/>
      <c r="AM30" s="109"/>
      <c r="AN30" s="109"/>
      <c r="AO30" s="74"/>
      <c r="AP30" s="74"/>
      <c r="AQ30" s="74"/>
      <c r="AR30" s="87"/>
      <c r="AS30" s="29"/>
    </row>
    <row r="31" spans="2:45" ht="14.5" x14ac:dyDescent="0.35">
      <c r="B31" s="135" t="s">
        <v>40</v>
      </c>
      <c r="C31" s="159">
        <v>12.077635250842436</v>
      </c>
      <c r="D31" s="160">
        <f t="shared" si="1"/>
        <v>30.194088127106088</v>
      </c>
      <c r="E31" s="142">
        <v>4.2771366588625899</v>
      </c>
      <c r="F31" s="143">
        <v>3.83701415891725</v>
      </c>
      <c r="G31" s="167"/>
      <c r="H31" s="22">
        <f t="shared" si="0"/>
        <v>0.65852072746183399</v>
      </c>
      <c r="I31" s="119">
        <f t="shared" si="2"/>
        <v>1.0169127119185837</v>
      </c>
      <c r="J31" s="123"/>
      <c r="K31" s="123"/>
      <c r="M31" s="48"/>
      <c r="N31" s="48"/>
      <c r="O31" s="48"/>
      <c r="R31" s="87"/>
      <c r="S31" s="46"/>
      <c r="T31" s="46"/>
      <c r="U31" s="107"/>
      <c r="V31" s="107"/>
      <c r="W31" s="107"/>
      <c r="X31" s="107"/>
      <c r="Y31" s="107"/>
      <c r="Z31" s="107"/>
      <c r="AA31" s="74"/>
      <c r="AB31" s="74"/>
      <c r="AC31" s="74"/>
      <c r="AD31" s="74"/>
      <c r="AE31" s="74"/>
      <c r="AF31" s="108"/>
      <c r="AG31" s="108"/>
      <c r="AH31" s="74"/>
      <c r="AI31" s="74"/>
      <c r="AJ31" s="74"/>
      <c r="AK31" s="109"/>
      <c r="AL31" s="74"/>
      <c r="AM31" s="109"/>
      <c r="AN31" s="109"/>
      <c r="AO31" s="74"/>
      <c r="AP31" s="74"/>
      <c r="AQ31" s="74"/>
      <c r="AR31" s="87"/>
      <c r="AS31" s="29"/>
    </row>
    <row r="32" spans="2:45" ht="14.5" x14ac:dyDescent="0.35">
      <c r="B32" s="135" t="s">
        <v>41</v>
      </c>
      <c r="C32" s="159">
        <v>15.195389401186315</v>
      </c>
      <c r="D32" s="160">
        <f t="shared" si="1"/>
        <v>37.988473502965789</v>
      </c>
      <c r="E32" s="142">
        <v>2.45200190057728</v>
      </c>
      <c r="F32" s="143">
        <v>2.4667596449628202</v>
      </c>
      <c r="G32" s="167"/>
      <c r="H32" s="22">
        <f t="shared" si="0"/>
        <v>1.368369668927869</v>
      </c>
      <c r="I32" s="119">
        <f t="shared" si="2"/>
        <v>2.1110576023174836</v>
      </c>
      <c r="J32" s="123"/>
      <c r="K32" s="123"/>
      <c r="M32" s="48"/>
      <c r="N32" s="48"/>
      <c r="O32" s="48"/>
      <c r="R32" s="87"/>
      <c r="S32" s="46"/>
      <c r="T32" s="46"/>
      <c r="U32" s="107"/>
      <c r="V32" s="107"/>
      <c r="W32" s="107"/>
      <c r="X32" s="107"/>
      <c r="Y32" s="107"/>
      <c r="Z32" s="107"/>
      <c r="AA32" s="74"/>
      <c r="AB32" s="74"/>
      <c r="AC32" s="74"/>
      <c r="AD32" s="74"/>
      <c r="AE32" s="74"/>
      <c r="AF32" s="108"/>
      <c r="AG32" s="108"/>
      <c r="AH32" s="74"/>
      <c r="AI32" s="74"/>
      <c r="AJ32" s="74"/>
      <c r="AK32" s="109"/>
      <c r="AL32" s="74"/>
      <c r="AM32" s="109"/>
      <c r="AN32" s="109"/>
      <c r="AO32" s="74"/>
      <c r="AP32" s="74"/>
      <c r="AQ32" s="74"/>
      <c r="AR32" s="87"/>
      <c r="AS32" s="29"/>
    </row>
    <row r="33" spans="2:45" ht="14.5" x14ac:dyDescent="0.35">
      <c r="B33" s="134" t="s">
        <v>50</v>
      </c>
      <c r="C33" s="159">
        <v>18.108345499224402</v>
      </c>
      <c r="D33" s="160">
        <f t="shared" si="1"/>
        <v>45.270863748061011</v>
      </c>
      <c r="E33" s="142">
        <v>5.7889723569646998</v>
      </c>
      <c r="F33" s="143">
        <v>5.4190770538007298</v>
      </c>
      <c r="G33" s="167"/>
      <c r="H33" s="22">
        <f t="shared" si="0"/>
        <v>0.71565403977045572</v>
      </c>
      <c r="I33" s="119">
        <f t="shared" si="2"/>
        <v>1.1047466204694774</v>
      </c>
      <c r="J33" s="123"/>
      <c r="K33" s="123"/>
      <c r="M33" s="48"/>
      <c r="N33" s="48"/>
      <c r="O33" s="48"/>
      <c r="R33" s="87"/>
      <c r="S33" s="46"/>
      <c r="T33" s="46"/>
      <c r="U33" s="107"/>
      <c r="V33" s="107"/>
      <c r="W33" s="107"/>
      <c r="X33" s="107"/>
      <c r="Y33" s="107"/>
      <c r="Z33" s="107"/>
      <c r="AA33" s="74"/>
      <c r="AB33" s="74"/>
      <c r="AC33" s="74"/>
      <c r="AD33" s="74"/>
      <c r="AE33" s="74"/>
      <c r="AF33" s="108"/>
      <c r="AG33" s="108"/>
      <c r="AH33" s="74"/>
      <c r="AI33" s="74"/>
      <c r="AJ33" s="74"/>
      <c r="AK33" s="109"/>
      <c r="AL33" s="74"/>
      <c r="AM33" s="109"/>
      <c r="AN33" s="109"/>
      <c r="AO33" s="74"/>
      <c r="AP33" s="74"/>
      <c r="AQ33" s="74"/>
      <c r="AR33" s="87"/>
      <c r="AS33" s="29"/>
    </row>
    <row r="34" spans="2:45" ht="14.5" x14ac:dyDescent="0.35">
      <c r="B34" s="135" t="s">
        <v>38</v>
      </c>
      <c r="C34" s="161">
        <v>19.5</v>
      </c>
      <c r="D34" s="166">
        <f t="shared" si="1"/>
        <v>48.75</v>
      </c>
      <c r="E34" s="152">
        <v>6.7720435268245502</v>
      </c>
      <c r="F34" s="153">
        <v>6.5619356351766696</v>
      </c>
      <c r="G34" s="187"/>
      <c r="H34" s="22">
        <f t="shared" si="0"/>
        <v>0.6479871409561333</v>
      </c>
      <c r="I34" s="119">
        <f t="shared" si="2"/>
        <v>1</v>
      </c>
      <c r="J34" s="123"/>
      <c r="K34" s="123"/>
      <c r="M34" s="48"/>
      <c r="N34" s="48"/>
      <c r="O34" s="48"/>
      <c r="R34" s="87"/>
      <c r="S34" s="46"/>
      <c r="T34" s="46"/>
      <c r="U34" s="107"/>
      <c r="V34" s="107"/>
      <c r="W34" s="107"/>
      <c r="X34" s="107"/>
      <c r="Y34" s="107"/>
      <c r="Z34" s="107"/>
      <c r="AA34" s="74"/>
      <c r="AB34" s="74"/>
      <c r="AC34" s="74"/>
      <c r="AD34" s="74"/>
      <c r="AE34" s="74"/>
      <c r="AF34" s="108"/>
      <c r="AG34" s="108"/>
      <c r="AH34" s="74"/>
      <c r="AI34" s="74"/>
      <c r="AJ34" s="74"/>
      <c r="AK34" s="109"/>
      <c r="AL34" s="74"/>
      <c r="AM34" s="109"/>
      <c r="AN34" s="109"/>
      <c r="AO34" s="74"/>
      <c r="AP34" s="74"/>
      <c r="AQ34" s="74"/>
      <c r="AR34" s="87"/>
      <c r="AS34" s="29"/>
    </row>
    <row r="35" spans="2:45" ht="14.5" x14ac:dyDescent="0.35">
      <c r="B35" s="134" t="s">
        <v>51</v>
      </c>
      <c r="C35" s="159">
        <v>1.1928635443079092</v>
      </c>
      <c r="D35" s="160">
        <f t="shared" si="1"/>
        <v>2.9821588607697729</v>
      </c>
      <c r="E35" s="142">
        <v>0.38134097253253701</v>
      </c>
      <c r="F35" s="143">
        <v>0.30974601459841999</v>
      </c>
      <c r="G35" s="167"/>
      <c r="H35" s="22">
        <f t="shared" si="0"/>
        <v>0.75886936985019782</v>
      </c>
      <c r="I35" s="119">
        <f t="shared" si="2"/>
        <v>1.1728322406863401</v>
      </c>
      <c r="J35" s="123"/>
      <c r="K35" s="123"/>
      <c r="M35" s="48"/>
      <c r="N35" s="48"/>
      <c r="O35" s="48"/>
      <c r="R35" s="87"/>
      <c r="S35" s="46"/>
      <c r="T35" s="46"/>
      <c r="U35" s="107"/>
      <c r="V35" s="107"/>
      <c r="W35" s="107"/>
      <c r="X35" s="107"/>
      <c r="Y35" s="107"/>
      <c r="Z35" s="107"/>
      <c r="AA35" s="74"/>
      <c r="AB35" s="74"/>
      <c r="AC35" s="74"/>
      <c r="AD35" s="74"/>
      <c r="AE35" s="74"/>
      <c r="AF35" s="108"/>
      <c r="AG35" s="108"/>
      <c r="AH35" s="74"/>
      <c r="AI35" s="74"/>
      <c r="AJ35" s="74"/>
      <c r="AK35" s="109"/>
      <c r="AL35" s="74"/>
      <c r="AM35" s="109"/>
      <c r="AN35" s="109"/>
      <c r="AO35" s="74"/>
      <c r="AP35" s="74"/>
      <c r="AQ35" s="74"/>
      <c r="AR35" s="87"/>
      <c r="AS35" s="29"/>
    </row>
    <row r="36" spans="2:45" ht="14.5" x14ac:dyDescent="0.35">
      <c r="B36" s="135" t="s">
        <v>42</v>
      </c>
      <c r="C36" s="159">
        <v>128.4634684527428</v>
      </c>
      <c r="D36" s="160">
        <f t="shared" si="1"/>
        <v>321.15867113185698</v>
      </c>
      <c r="E36" s="142">
        <v>41.067885952617097</v>
      </c>
      <c r="F36" s="143">
        <v>39.489703347666399</v>
      </c>
      <c r="G36" s="167"/>
      <c r="H36" s="22">
        <f t="shared" si="0"/>
        <v>0.70657225497874931</v>
      </c>
      <c r="I36" s="119">
        <f t="shared" si="2"/>
        <v>1.0904812373974773</v>
      </c>
      <c r="J36" s="123"/>
      <c r="K36" s="123"/>
      <c r="M36" s="48"/>
      <c r="N36" s="48"/>
      <c r="O36" s="48"/>
      <c r="R36" s="87"/>
      <c r="S36" s="46"/>
      <c r="T36" s="46"/>
      <c r="U36" s="107"/>
      <c r="V36" s="107"/>
      <c r="W36" s="107"/>
      <c r="X36" s="107"/>
      <c r="Y36" s="107"/>
      <c r="Z36" s="107"/>
      <c r="AA36" s="74"/>
      <c r="AB36" s="74"/>
      <c r="AC36" s="74"/>
      <c r="AD36" s="74"/>
      <c r="AE36" s="74"/>
      <c r="AF36" s="108"/>
      <c r="AG36" s="108"/>
      <c r="AH36" s="74"/>
      <c r="AI36" s="74"/>
      <c r="AJ36" s="74"/>
      <c r="AK36" s="109"/>
      <c r="AL36" s="74"/>
      <c r="AM36" s="109"/>
      <c r="AN36" s="109"/>
      <c r="AO36" s="74"/>
      <c r="AP36" s="74"/>
      <c r="AQ36" s="74"/>
      <c r="AR36" s="87"/>
      <c r="AS36" s="29"/>
    </row>
    <row r="37" spans="2:45" ht="14.5" x14ac:dyDescent="0.35">
      <c r="B37" s="134" t="s">
        <v>52</v>
      </c>
      <c r="C37" s="159">
        <v>2.4309465384665669</v>
      </c>
      <c r="D37" s="160">
        <f t="shared" si="1"/>
        <v>6.0773663461664169</v>
      </c>
      <c r="E37" s="142">
        <v>0.77713793968889799</v>
      </c>
      <c r="F37" s="143">
        <v>0.73661559143973498</v>
      </c>
      <c r="G37" s="167"/>
      <c r="H37" s="22">
        <f t="shared" si="0"/>
        <v>0.71146579542795596</v>
      </c>
      <c r="I37" s="119">
        <f t="shared" si="2"/>
        <v>1.0981662120626654</v>
      </c>
      <c r="J37" s="123"/>
      <c r="K37" s="123"/>
      <c r="M37" s="48"/>
      <c r="N37" s="48"/>
      <c r="O37" s="48"/>
      <c r="R37" s="87"/>
      <c r="S37" s="46"/>
      <c r="T37" s="46"/>
      <c r="U37" s="107"/>
      <c r="V37" s="107"/>
      <c r="W37" s="107"/>
      <c r="X37" s="107"/>
      <c r="Y37" s="107"/>
      <c r="Z37" s="107"/>
      <c r="AA37" s="74"/>
      <c r="AB37" s="74"/>
      <c r="AC37" s="74"/>
      <c r="AD37" s="74"/>
      <c r="AE37" s="74"/>
      <c r="AF37" s="108"/>
      <c r="AG37" s="108"/>
      <c r="AH37" s="74"/>
      <c r="AI37" s="74"/>
      <c r="AJ37" s="74"/>
      <c r="AK37" s="109"/>
      <c r="AL37" s="74"/>
      <c r="AM37" s="109"/>
      <c r="AN37" s="109"/>
      <c r="AO37" s="74"/>
      <c r="AP37" s="74"/>
      <c r="AQ37" s="74"/>
      <c r="AR37" s="87"/>
      <c r="AS37" s="29"/>
    </row>
    <row r="38" spans="2:45" ht="14.5" x14ac:dyDescent="0.35">
      <c r="B38" s="134" t="s">
        <v>53</v>
      </c>
      <c r="C38" s="159">
        <v>10.61044370634437</v>
      </c>
      <c r="D38" s="160">
        <f t="shared" si="1"/>
        <v>26.526109265860924</v>
      </c>
      <c r="E38" s="142">
        <v>3.3920031685826002</v>
      </c>
      <c r="F38" s="143">
        <v>2.1247670957598501</v>
      </c>
      <c r="G38" s="167"/>
      <c r="H38" s="22">
        <f t="shared" si="0"/>
        <v>0.81462746317809887</v>
      </c>
      <c r="I38" s="119">
        <f t="shared" si="2"/>
        <v>1.2614340376910387</v>
      </c>
      <c r="J38" s="123"/>
      <c r="K38" s="123"/>
      <c r="M38" s="48"/>
      <c r="N38" s="48"/>
      <c r="O38" s="48"/>
      <c r="R38" s="87"/>
      <c r="S38" s="46"/>
      <c r="T38" s="46"/>
      <c r="U38" s="107"/>
      <c r="V38" s="107"/>
      <c r="W38" s="107"/>
      <c r="X38" s="107"/>
      <c r="Y38" s="107"/>
      <c r="Z38" s="107"/>
      <c r="AA38" s="74"/>
      <c r="AB38" s="74"/>
      <c r="AC38" s="74"/>
      <c r="AD38" s="74"/>
      <c r="AE38" s="74"/>
      <c r="AF38" s="108"/>
      <c r="AG38" s="108"/>
      <c r="AH38" s="74"/>
      <c r="AI38" s="74"/>
      <c r="AJ38" s="74"/>
      <c r="AK38" s="109"/>
      <c r="AL38" s="74"/>
      <c r="AM38" s="109"/>
      <c r="AN38" s="109"/>
      <c r="AO38" s="74"/>
      <c r="AP38" s="74"/>
      <c r="AQ38" s="74"/>
      <c r="AR38" s="87"/>
      <c r="AS38" s="29"/>
    </row>
    <row r="39" spans="2:45" ht="14.5" x14ac:dyDescent="0.35">
      <c r="B39" s="134" t="s">
        <v>54</v>
      </c>
      <c r="C39" s="159">
        <v>4.4011035835134686</v>
      </c>
      <c r="D39" s="160">
        <f t="shared" si="1"/>
        <v>11.002758958783671</v>
      </c>
      <c r="E39" s="142">
        <v>0.71380907662221704</v>
      </c>
      <c r="F39" s="143">
        <v>0.76675584374750005</v>
      </c>
      <c r="G39" s="167"/>
      <c r="H39" s="22">
        <f t="shared" si="0"/>
        <v>1.3137064479239644</v>
      </c>
      <c r="I39" s="119">
        <f t="shared" si="2"/>
        <v>2.0256151137689371</v>
      </c>
      <c r="J39" s="123"/>
      <c r="K39" s="123"/>
      <c r="M39" s="48"/>
      <c r="N39" s="48"/>
      <c r="O39" s="48"/>
      <c r="R39" s="87"/>
      <c r="S39" s="46"/>
      <c r="T39" s="46"/>
      <c r="U39" s="107"/>
      <c r="V39" s="107"/>
      <c r="W39" s="107"/>
      <c r="X39" s="107"/>
      <c r="Y39" s="107"/>
      <c r="Z39" s="107"/>
      <c r="AA39" s="74"/>
      <c r="AB39" s="74"/>
      <c r="AC39" s="74"/>
      <c r="AD39" s="74"/>
      <c r="AE39" s="74"/>
      <c r="AF39" s="108"/>
      <c r="AG39" s="108"/>
      <c r="AH39" s="74"/>
      <c r="AI39" s="74"/>
      <c r="AJ39" s="74"/>
      <c r="AK39" s="109"/>
      <c r="AL39" s="74"/>
      <c r="AM39" s="109"/>
      <c r="AN39" s="109"/>
      <c r="AO39" s="74"/>
      <c r="AP39" s="74"/>
      <c r="AQ39" s="74"/>
      <c r="AR39" s="87"/>
      <c r="AS39" s="29"/>
    </row>
    <row r="40" spans="2:45" ht="14.5" x14ac:dyDescent="0.35">
      <c r="B40" s="134" t="s">
        <v>55</v>
      </c>
      <c r="C40" s="159">
        <v>2.701974991100061</v>
      </c>
      <c r="D40" s="160">
        <f t="shared" si="1"/>
        <v>6.7549374777501532</v>
      </c>
      <c r="E40" s="142">
        <v>0.86378175926443101</v>
      </c>
      <c r="F40" s="143">
        <v>0.76302522721076604</v>
      </c>
      <c r="G40" s="167"/>
      <c r="H40" s="22">
        <f t="shared" si="0"/>
        <v>0.73432736729490622</v>
      </c>
      <c r="I40" s="119">
        <f t="shared" si="2"/>
        <v>1.1341219448900697</v>
      </c>
      <c r="J40" s="123"/>
      <c r="K40" s="123"/>
      <c r="M40" s="48"/>
      <c r="N40" s="48"/>
      <c r="O40" s="48"/>
      <c r="R40" s="87"/>
      <c r="S40" s="46"/>
      <c r="T40" s="46"/>
      <c r="U40" s="107"/>
      <c r="V40" s="107"/>
      <c r="W40" s="107"/>
      <c r="X40" s="107"/>
      <c r="Y40" s="107"/>
      <c r="Z40" s="107"/>
      <c r="AA40" s="74"/>
      <c r="AB40" s="74"/>
      <c r="AC40" s="74"/>
      <c r="AD40" s="74"/>
      <c r="AE40" s="74"/>
      <c r="AF40" s="108"/>
      <c r="AG40" s="108"/>
      <c r="AH40" s="74"/>
      <c r="AI40" s="74"/>
      <c r="AJ40" s="74"/>
      <c r="AK40" s="109"/>
      <c r="AL40" s="74"/>
      <c r="AM40" s="109"/>
      <c r="AN40" s="109"/>
      <c r="AO40" s="74"/>
      <c r="AP40" s="74"/>
      <c r="AQ40" s="74"/>
      <c r="AR40" s="87"/>
      <c r="AS40" s="29"/>
    </row>
    <row r="41" spans="2:45" ht="14.5" x14ac:dyDescent="0.35">
      <c r="B41" s="134" t="s">
        <v>56</v>
      </c>
      <c r="C41" s="159">
        <v>2.9577212341069483</v>
      </c>
      <c r="D41" s="160">
        <f t="shared" si="1"/>
        <v>7.3943030852673699</v>
      </c>
      <c r="E41" s="142">
        <v>0.94554008065430395</v>
      </c>
      <c r="F41" s="143">
        <v>1.2701301359583499</v>
      </c>
      <c r="G41" s="167"/>
      <c r="H41" s="22">
        <f t="shared" si="0"/>
        <v>0.57642758296605012</v>
      </c>
      <c r="I41" s="119">
        <f t="shared" si="2"/>
        <v>0.88722490983971336</v>
      </c>
      <c r="J41" s="123"/>
      <c r="K41" s="123"/>
      <c r="M41" s="48"/>
      <c r="N41" s="48"/>
      <c r="O41" s="48"/>
      <c r="R41" s="87"/>
      <c r="S41" s="46"/>
      <c r="T41" s="46"/>
      <c r="U41" s="107"/>
      <c r="V41" s="107"/>
      <c r="W41" s="107"/>
      <c r="X41" s="107"/>
      <c r="Y41" s="107"/>
      <c r="Z41" s="107"/>
      <c r="AA41" s="74"/>
      <c r="AB41" s="74"/>
      <c r="AC41" s="74"/>
      <c r="AD41" s="74"/>
      <c r="AE41" s="74"/>
      <c r="AF41" s="108"/>
      <c r="AG41" s="108"/>
      <c r="AH41" s="74"/>
      <c r="AI41" s="74"/>
      <c r="AJ41" s="74"/>
      <c r="AK41" s="109"/>
      <c r="AL41" s="74"/>
      <c r="AM41" s="109"/>
      <c r="AN41" s="109"/>
      <c r="AO41" s="74"/>
      <c r="AP41" s="74"/>
      <c r="AQ41" s="74"/>
      <c r="AR41" s="87"/>
      <c r="AS41" s="29"/>
    </row>
    <row r="42" spans="2:45" ht="14.5" x14ac:dyDescent="0.35">
      <c r="B42" s="137" t="s">
        <v>39</v>
      </c>
      <c r="C42" s="162">
        <v>66.8241997463915</v>
      </c>
      <c r="D42" s="172">
        <f t="shared" si="1"/>
        <v>167.06049936597876</v>
      </c>
      <c r="E42" s="146">
        <v>5.75914986385063</v>
      </c>
      <c r="F42" s="147">
        <v>4.1716056837868498</v>
      </c>
      <c r="G42" s="188"/>
      <c r="H42" s="23">
        <f t="shared" si="0"/>
        <v>2.9203527300004621</v>
      </c>
      <c r="I42" s="120">
        <f t="shared" si="2"/>
        <v>4.5174493318173861</v>
      </c>
      <c r="J42" s="123"/>
      <c r="K42" s="123"/>
      <c r="M42" s="48"/>
      <c r="N42" s="48"/>
      <c r="O42" s="48"/>
      <c r="R42" s="87"/>
      <c r="S42" s="46"/>
      <c r="T42" s="46"/>
      <c r="U42" s="107"/>
      <c r="V42" s="107"/>
      <c r="W42" s="107"/>
      <c r="X42" s="107"/>
      <c r="Y42" s="107"/>
      <c r="Z42" s="107"/>
      <c r="AA42" s="74"/>
      <c r="AB42" s="74"/>
      <c r="AC42" s="74"/>
      <c r="AD42" s="74"/>
      <c r="AE42" s="74"/>
      <c r="AF42" s="108"/>
      <c r="AG42" s="108"/>
      <c r="AH42" s="74"/>
      <c r="AI42" s="74"/>
      <c r="AJ42" s="74"/>
      <c r="AK42" s="109"/>
      <c r="AL42" s="74"/>
      <c r="AM42" s="109"/>
      <c r="AN42" s="109"/>
      <c r="AO42" s="74"/>
      <c r="AP42" s="74"/>
      <c r="AQ42" s="74"/>
      <c r="AR42" s="87"/>
      <c r="AS42" s="29"/>
    </row>
    <row r="43" spans="2:45" ht="14.5" x14ac:dyDescent="0.35">
      <c r="B43" s="151"/>
      <c r="C43" s="168"/>
      <c r="D43" s="169"/>
      <c r="E43" s="170"/>
      <c r="F43" s="170"/>
      <c r="G43" s="170"/>
      <c r="H43" s="171"/>
      <c r="I43" s="123"/>
      <c r="J43" s="123"/>
      <c r="K43" s="123"/>
      <c r="M43" s="48"/>
      <c r="N43" s="48"/>
      <c r="O43" s="48"/>
      <c r="R43" s="87"/>
      <c r="S43" s="46"/>
      <c r="T43" s="46"/>
      <c r="U43" s="107"/>
      <c r="V43" s="107"/>
      <c r="W43" s="107"/>
      <c r="X43" s="107"/>
      <c r="Y43" s="107"/>
      <c r="Z43" s="107"/>
      <c r="AA43" s="74"/>
      <c r="AB43" s="74"/>
      <c r="AC43" s="74"/>
      <c r="AD43" s="74"/>
      <c r="AE43" s="74"/>
      <c r="AF43" s="108"/>
      <c r="AG43" s="108"/>
      <c r="AH43" s="74"/>
      <c r="AI43" s="74"/>
      <c r="AJ43" s="74"/>
      <c r="AK43" s="109"/>
      <c r="AL43" s="74"/>
      <c r="AM43" s="109"/>
      <c r="AN43" s="109"/>
      <c r="AO43" s="74"/>
      <c r="AP43" s="74"/>
      <c r="AQ43" s="74"/>
      <c r="AR43" s="87"/>
      <c r="AS43" s="29"/>
    </row>
    <row r="44" spans="2:45" ht="14.5" x14ac:dyDescent="0.35">
      <c r="B44" s="151"/>
      <c r="C44" s="168"/>
      <c r="D44" s="169"/>
      <c r="E44" s="170"/>
      <c r="F44" s="170"/>
      <c r="G44" s="170"/>
      <c r="H44" s="171"/>
      <c r="I44" s="123"/>
      <c r="J44" s="123"/>
      <c r="K44" s="123"/>
      <c r="M44" s="48"/>
      <c r="N44" s="48"/>
      <c r="O44" s="48"/>
      <c r="R44" s="87"/>
      <c r="S44" s="46"/>
      <c r="T44" s="46"/>
      <c r="U44" s="107"/>
      <c r="AE44" s="74"/>
      <c r="AF44" s="108"/>
      <c r="AG44" s="108"/>
      <c r="AH44" s="74"/>
      <c r="AI44" s="74"/>
      <c r="AJ44" s="74"/>
      <c r="AK44" s="109"/>
      <c r="AL44" s="74"/>
      <c r="AM44" s="109"/>
      <c r="AN44" s="109"/>
      <c r="AO44" s="74"/>
      <c r="AP44" s="74"/>
      <c r="AQ44" s="74"/>
      <c r="AR44" s="87"/>
      <c r="AS44" s="29"/>
    </row>
    <row r="45" spans="2:45" ht="14.5" customHeight="1" x14ac:dyDescent="0.35">
      <c r="B45" s="175" t="s">
        <v>62</v>
      </c>
      <c r="C45" s="360" t="s">
        <v>66</v>
      </c>
      <c r="D45" s="361"/>
      <c r="E45" s="362"/>
      <c r="F45"/>
      <c r="G45"/>
      <c r="H45"/>
      <c r="I45"/>
      <c r="U45" s="107"/>
      <c r="AE45" s="74"/>
      <c r="AO45" s="74"/>
    </row>
    <row r="46" spans="2:45" ht="14.5" x14ac:dyDescent="0.35">
      <c r="B46" s="176" t="s">
        <v>61</v>
      </c>
      <c r="C46" s="14"/>
      <c r="D46" s="174">
        <v>19.5</v>
      </c>
      <c r="E46" s="126"/>
      <c r="F46"/>
      <c r="G46"/>
      <c r="H46"/>
      <c r="I46"/>
      <c r="U46" s="107"/>
      <c r="AE46" s="74"/>
      <c r="AO46" s="74"/>
    </row>
    <row r="47" spans="2:45" ht="14.5" x14ac:dyDescent="0.35">
      <c r="B47" s="173" t="s">
        <v>26</v>
      </c>
      <c r="C47" s="82"/>
      <c r="D47" s="189">
        <v>40</v>
      </c>
      <c r="E47" s="26"/>
      <c r="F47"/>
      <c r="G47"/>
      <c r="H47"/>
      <c r="I47"/>
      <c r="U47" s="107"/>
      <c r="AE47" s="74"/>
      <c r="AO47" s="74"/>
    </row>
    <row r="48" spans="2:45" ht="14" customHeight="1" x14ac:dyDescent="0.3">
      <c r="B48" s="363" t="s">
        <v>0</v>
      </c>
      <c r="C48" s="258" t="s">
        <v>89</v>
      </c>
      <c r="D48" s="10"/>
      <c r="E48" s="41"/>
      <c r="F48" s="358" t="s">
        <v>83</v>
      </c>
      <c r="G48" s="359"/>
      <c r="H48" s="323" t="s">
        <v>58</v>
      </c>
      <c r="I48" s="325"/>
      <c r="J48" s="182" t="s">
        <v>64</v>
      </c>
      <c r="U48" s="107"/>
      <c r="AE48" s="74"/>
      <c r="AO48" s="74"/>
    </row>
    <row r="49" spans="2:41" ht="14" x14ac:dyDescent="0.3">
      <c r="B49" s="364"/>
      <c r="C49" s="103" t="s">
        <v>21</v>
      </c>
      <c r="D49" s="103" t="s">
        <v>8</v>
      </c>
      <c r="E49" s="103" t="s">
        <v>22</v>
      </c>
      <c r="F49" s="200" t="s">
        <v>28</v>
      </c>
      <c r="G49" s="104" t="s">
        <v>27</v>
      </c>
      <c r="H49" s="182" t="s">
        <v>28</v>
      </c>
      <c r="I49" s="182" t="s">
        <v>27</v>
      </c>
      <c r="J49" s="183" t="s">
        <v>63</v>
      </c>
      <c r="U49" s="107"/>
      <c r="AE49" s="74"/>
      <c r="AO49" s="74"/>
    </row>
    <row r="50" spans="2:41" x14ac:dyDescent="0.3">
      <c r="B50" s="259" t="s">
        <v>2</v>
      </c>
      <c r="C50" s="178">
        <v>161.96690006892601</v>
      </c>
      <c r="D50" s="178">
        <v>223.67053485749901</v>
      </c>
      <c r="E50" s="179"/>
      <c r="F50" s="101">
        <f>ABS(((C50/C$67)-(D50/D$67))/((C50/C$67)+(D50/D$67))/2)*100</f>
        <v>8.7659786066934515</v>
      </c>
      <c r="G50" s="54">
        <f>ABS(((C50/C$54)-(D50/D$54))/((C50/C$54)+(D50/D$54))/2)*100</f>
        <v>8.4940202128713302</v>
      </c>
      <c r="H50" s="268">
        <f t="shared" ref="H50:H75" si="3">D$46*I17*((C50/C$67+D50/D$67)/2)/D$47*100</f>
        <v>3021.7203734978325</v>
      </c>
      <c r="I50" s="266">
        <f>H17*789270*(C50/C$54+D50/D$54)/2</f>
        <v>3027.2348143635886</v>
      </c>
      <c r="J50" s="54">
        <f>(I50-H50)/((I50+H50)/2)*100</f>
        <v>0.18232705300320529</v>
      </c>
      <c r="U50" s="107"/>
      <c r="AE50" s="74"/>
      <c r="AO50" s="74"/>
    </row>
    <row r="51" spans="2:41" x14ac:dyDescent="0.3">
      <c r="B51" s="260" t="s">
        <v>45</v>
      </c>
      <c r="C51" s="155">
        <v>21.9388292649177</v>
      </c>
      <c r="D51" s="155">
        <v>48.562996343754101</v>
      </c>
      <c r="E51" s="51"/>
      <c r="F51" s="5">
        <f t="shared" ref="F51:F75" si="4">ABS(((C51/C$67)-(D51/D$67))/((C51/C$67)+(D51/D$67))/2)*100</f>
        <v>19.553411619195778</v>
      </c>
      <c r="G51" s="7">
        <f t="shared" ref="G51:G75" si="5">ABS(((C51/C$54)-(D51/D$54))/((C51/C$54)+(D51/D$54))/2)*100</f>
        <v>19.315451598646597</v>
      </c>
      <c r="H51" s="24">
        <f t="shared" si="3"/>
        <v>318.87420519383778</v>
      </c>
      <c r="I51" s="25">
        <f t="shared" ref="I51:I75" si="6">H18*C51/C$54*789270</f>
        <v>196.32019889301282</v>
      </c>
      <c r="J51" s="7">
        <f>(I51-H51)/((I51+H51)/2)*100</f>
        <v>-47.57582975616522</v>
      </c>
      <c r="U51" s="107"/>
      <c r="AE51" s="74"/>
      <c r="AO51" s="74"/>
    </row>
    <row r="52" spans="2:41" x14ac:dyDescent="0.3">
      <c r="B52" s="261" t="s">
        <v>4</v>
      </c>
      <c r="C52" s="155">
        <v>82.697751821764101</v>
      </c>
      <c r="D52" s="155">
        <v>85.392403421856102</v>
      </c>
      <c r="E52" s="51"/>
      <c r="F52" s="5">
        <f t="shared" si="4"/>
        <v>1.5890145384181993</v>
      </c>
      <c r="G52" s="7">
        <f t="shared" si="5"/>
        <v>1.3089408711379928</v>
      </c>
      <c r="H52" s="24">
        <f t="shared" si="3"/>
        <v>1338.7005641138926</v>
      </c>
      <c r="I52" s="25">
        <f t="shared" si="6"/>
        <v>1304.0779165294562</v>
      </c>
      <c r="J52" s="7">
        <f>(I52-H52)/((I52+H52)/2)*100</f>
        <v>-2.6201702365919082</v>
      </c>
      <c r="U52" s="107"/>
      <c r="AE52" s="74"/>
      <c r="AO52" s="74"/>
    </row>
    <row r="53" spans="2:41" x14ac:dyDescent="0.3">
      <c r="B53" s="261" t="s">
        <v>5</v>
      </c>
      <c r="C53" s="155">
        <v>25.56365343381</v>
      </c>
      <c r="D53" s="155">
        <v>25.645226539526298</v>
      </c>
      <c r="E53" s="51"/>
      <c r="F53" s="5">
        <f t="shared" si="4"/>
        <v>0.86749207933548589</v>
      </c>
      <c r="G53" s="7">
        <f t="shared" si="5"/>
        <v>0.58724232349997341</v>
      </c>
      <c r="H53" s="24">
        <f t="shared" si="3"/>
        <v>423.83584768871901</v>
      </c>
      <c r="I53" s="25">
        <f t="shared" si="6"/>
        <v>418.92625681503409</v>
      </c>
      <c r="J53" s="7">
        <f>(I53-H53)/((I53+H53)/2)*100</f>
        <v>-1.1651190406991194</v>
      </c>
      <c r="U53" s="107"/>
      <c r="AE53" s="74"/>
      <c r="AO53" s="74"/>
    </row>
    <row r="54" spans="2:41" x14ac:dyDescent="0.3">
      <c r="B54" s="262" t="s">
        <v>6</v>
      </c>
      <c r="C54" s="158">
        <v>70651.736064646204</v>
      </c>
      <c r="D54" s="158">
        <v>69231.627850057805</v>
      </c>
      <c r="E54" s="51"/>
      <c r="F54" s="5">
        <f t="shared" si="4"/>
        <v>0.2803068743108651</v>
      </c>
      <c r="G54" s="7">
        <f t="shared" si="5"/>
        <v>0</v>
      </c>
      <c r="H54" s="24">
        <f t="shared" si="3"/>
        <v>0</v>
      </c>
      <c r="I54" s="25">
        <f t="shared" si="6"/>
        <v>789270</v>
      </c>
      <c r="J54" s="7"/>
      <c r="U54" s="107"/>
      <c r="AE54" s="74"/>
      <c r="AO54" s="74"/>
    </row>
    <row r="55" spans="2:41" x14ac:dyDescent="0.3">
      <c r="B55" s="260" t="s">
        <v>46</v>
      </c>
      <c r="C55" s="155">
        <v>1.2346430595465301</v>
      </c>
      <c r="D55" s="155">
        <v>1.1705538879769799</v>
      </c>
      <c r="E55" s="52"/>
      <c r="F55" s="5">
        <f t="shared" si="4"/>
        <v>0.54466836480941683</v>
      </c>
      <c r="G55" s="7">
        <f t="shared" si="5"/>
        <v>0.82492486119431829</v>
      </c>
      <c r="H55" s="24">
        <f t="shared" si="3"/>
        <v>9.6539977143691171</v>
      </c>
      <c r="I55" s="25">
        <f t="shared" si="6"/>
        <v>9.8117678982134997</v>
      </c>
      <c r="J55" s="7">
        <f t="shared" ref="J55:J75" si="7">(I55-H55)/((I55+H55)/2)*100</f>
        <v>1.6210015776867301</v>
      </c>
      <c r="U55" s="107"/>
      <c r="AE55" s="74"/>
      <c r="AO55" s="74"/>
    </row>
    <row r="56" spans="2:41" x14ac:dyDescent="0.3">
      <c r="B56" s="260" t="s">
        <v>14</v>
      </c>
      <c r="C56" s="155">
        <v>0.1329258125377</v>
      </c>
      <c r="D56" s="155">
        <v>0.125168268876617</v>
      </c>
      <c r="E56" s="51"/>
      <c r="F56" s="5">
        <f t="shared" si="4"/>
        <v>0.71532426860780618</v>
      </c>
      <c r="G56" s="7">
        <f t="shared" si="5"/>
        <v>0.9955512955991711</v>
      </c>
      <c r="H56" s="24">
        <f t="shared" si="3"/>
        <v>0.74058815146139678</v>
      </c>
      <c r="I56" s="25">
        <f t="shared" si="6"/>
        <v>0.75818055856906763</v>
      </c>
      <c r="J56" s="7">
        <f t="shared" si="7"/>
        <v>2.3475813165746251</v>
      </c>
      <c r="U56" s="107"/>
      <c r="AE56" s="74"/>
      <c r="AO56" s="74"/>
    </row>
    <row r="57" spans="2:41" x14ac:dyDescent="0.3">
      <c r="B57" s="260" t="s">
        <v>47</v>
      </c>
      <c r="C57" s="155">
        <v>0.48368585151704901</v>
      </c>
      <c r="D57" s="155">
        <v>0.48835025923715902</v>
      </c>
      <c r="E57" s="51"/>
      <c r="F57" s="5">
        <f t="shared" si="4"/>
        <v>1.0277184778605697</v>
      </c>
      <c r="G57" s="7">
        <f t="shared" si="5"/>
        <v>0.74749773817877907</v>
      </c>
      <c r="H57" s="24">
        <f t="shared" si="3"/>
        <v>3.7809178900052047</v>
      </c>
      <c r="I57" s="25">
        <f t="shared" si="6"/>
        <v>3.7251342563525101</v>
      </c>
      <c r="J57" s="7">
        <f t="shared" si="7"/>
        <v>-1.4863641382977464</v>
      </c>
      <c r="U57" s="107"/>
      <c r="AE57" s="74"/>
      <c r="AO57" s="74"/>
    </row>
    <row r="58" spans="2:41" x14ac:dyDescent="0.3">
      <c r="B58" s="261" t="s">
        <v>15</v>
      </c>
      <c r="C58" s="155">
        <v>40.071955169852899</v>
      </c>
      <c r="D58" s="155">
        <v>40.054483385864401</v>
      </c>
      <c r="E58" s="51"/>
      <c r="F58" s="5">
        <f t="shared" si="4"/>
        <v>0.77696646769821098</v>
      </c>
      <c r="G58" s="7">
        <f t="shared" si="5"/>
        <v>0.49670286396370827</v>
      </c>
      <c r="H58" s="24">
        <f t="shared" si="3"/>
        <v>367.2844478143067</v>
      </c>
      <c r="I58" s="25">
        <f t="shared" si="6"/>
        <v>363.68773978504657</v>
      </c>
      <c r="J58" s="7">
        <f t="shared" si="7"/>
        <v>-0.98408888608262302</v>
      </c>
      <c r="U58" s="107"/>
      <c r="AE58" s="74"/>
      <c r="AO58" s="74"/>
    </row>
    <row r="59" spans="2:41" x14ac:dyDescent="0.3">
      <c r="B59" s="261" t="s">
        <v>1</v>
      </c>
      <c r="C59" s="155">
        <v>59.646289852345902</v>
      </c>
      <c r="D59" s="155">
        <v>58.567977527783299</v>
      </c>
      <c r="E59" s="51"/>
      <c r="F59" s="5">
        <f t="shared" si="4"/>
        <v>0.33183029333367531</v>
      </c>
      <c r="G59" s="7">
        <f t="shared" si="5"/>
        <v>5.1525336060290791E-2</v>
      </c>
      <c r="H59" s="24">
        <f t="shared" si="3"/>
        <v>472.65222658610008</v>
      </c>
      <c r="I59" s="25">
        <f t="shared" si="6"/>
        <v>472.1854501511113</v>
      </c>
      <c r="J59" s="7">
        <f t="shared" si="7"/>
        <v>-9.8805635397753624E-2</v>
      </c>
      <c r="U59" s="107"/>
      <c r="AE59" s="74"/>
      <c r="AO59" s="74"/>
    </row>
    <row r="60" spans="2:41" x14ac:dyDescent="0.3">
      <c r="B60" s="260" t="s">
        <v>16</v>
      </c>
      <c r="C60" s="155">
        <v>0.76042440914478004</v>
      </c>
      <c r="D60" s="155">
        <v>0.79818114899496095</v>
      </c>
      <c r="E60" s="51"/>
      <c r="F60" s="5">
        <f t="shared" si="4"/>
        <v>1.9983382412972417</v>
      </c>
      <c r="G60" s="7">
        <f t="shared" si="5"/>
        <v>1.7184163939519133</v>
      </c>
      <c r="H60" s="24">
        <f t="shared" si="3"/>
        <v>5.9371796535585704</v>
      </c>
      <c r="I60" s="25">
        <f t="shared" si="6"/>
        <v>5.7355118024257328</v>
      </c>
      <c r="J60" s="7">
        <f t="shared" si="7"/>
        <v>-3.4553787683550468</v>
      </c>
      <c r="U60" s="107"/>
      <c r="AE60" s="74"/>
      <c r="AO60" s="74"/>
    </row>
    <row r="61" spans="2:41" x14ac:dyDescent="0.3">
      <c r="B61" s="260" t="s">
        <v>48</v>
      </c>
      <c r="C61" s="155">
        <v>3.7915935313945099</v>
      </c>
      <c r="D61" s="155">
        <v>3.2365754247915102</v>
      </c>
      <c r="E61" s="51"/>
      <c r="F61" s="5">
        <f t="shared" si="4"/>
        <v>3.1645971207035966</v>
      </c>
      <c r="G61" s="7">
        <f t="shared" si="5"/>
        <v>3.4436820962623607</v>
      </c>
      <c r="H61" s="24">
        <f t="shared" si="3"/>
        <v>29.53267775893444</v>
      </c>
      <c r="I61" s="25">
        <f t="shared" si="6"/>
        <v>31.543523748346715</v>
      </c>
      <c r="J61" s="7">
        <f t="shared" si="7"/>
        <v>6.5847120147855067</v>
      </c>
      <c r="U61" s="107"/>
      <c r="AE61" s="74"/>
      <c r="AO61" s="74"/>
    </row>
    <row r="62" spans="2:41" x14ac:dyDescent="0.3">
      <c r="B62" s="261" t="s">
        <v>17</v>
      </c>
      <c r="C62" s="155">
        <v>89.327495183422499</v>
      </c>
      <c r="D62" s="155">
        <v>86.809524108443298</v>
      </c>
      <c r="E62" s="51"/>
      <c r="F62" s="5">
        <f t="shared" si="4"/>
        <v>7.3106674536443983E-2</v>
      </c>
      <c r="G62" s="7">
        <f t="shared" si="5"/>
        <v>0.20720189819209214</v>
      </c>
      <c r="H62" s="24">
        <f t="shared" si="3"/>
        <v>651.52754264216105</v>
      </c>
      <c r="I62" s="25">
        <f t="shared" si="6"/>
        <v>654.2176612303424</v>
      </c>
      <c r="J62" s="7">
        <f t="shared" si="7"/>
        <v>0.41204341860925869</v>
      </c>
      <c r="U62" s="107"/>
      <c r="AE62" s="74"/>
      <c r="AO62" s="74"/>
    </row>
    <row r="63" spans="2:41" ht="14.5" x14ac:dyDescent="0.35">
      <c r="B63" s="261" t="s">
        <v>18</v>
      </c>
      <c r="C63" s="156">
        <v>400.38664990920699</v>
      </c>
      <c r="D63" s="156">
        <v>387.35957261296898</v>
      </c>
      <c r="E63" s="154"/>
      <c r="F63" s="5">
        <f t="shared" si="4"/>
        <v>3.9001221949350427E-2</v>
      </c>
      <c r="G63" s="7">
        <f t="shared" si="5"/>
        <v>0.31930669995620781</v>
      </c>
      <c r="H63" s="24">
        <f t="shared" si="3"/>
        <v>2976.7842919256386</v>
      </c>
      <c r="I63" s="25">
        <f t="shared" si="6"/>
        <v>2995.6740863560181</v>
      </c>
      <c r="J63" s="7">
        <f t="shared" si="7"/>
        <v>0.63256345156194227</v>
      </c>
      <c r="U63" s="107"/>
      <c r="AE63" s="74"/>
      <c r="AO63" s="74"/>
    </row>
    <row r="64" spans="2:41" ht="14.5" x14ac:dyDescent="0.35">
      <c r="B64" s="261" t="s">
        <v>40</v>
      </c>
      <c r="C64" s="156">
        <v>4.2771366588625899</v>
      </c>
      <c r="D64" s="156">
        <v>3.83701415891725</v>
      </c>
      <c r="E64" s="154"/>
      <c r="F64" s="5">
        <f t="shared" si="4"/>
        <v>1.9258471213269468</v>
      </c>
      <c r="G64" s="7">
        <f t="shared" si="5"/>
        <v>2.2056777208357703</v>
      </c>
      <c r="H64" s="24">
        <f t="shared" si="3"/>
        <v>30.149359897887912</v>
      </c>
      <c r="I64" s="25">
        <f t="shared" si="6"/>
        <v>31.464825946648805</v>
      </c>
      <c r="J64" s="7">
        <f t="shared" si="7"/>
        <v>4.2700103254794017</v>
      </c>
      <c r="U64" s="107"/>
      <c r="AE64" s="74"/>
      <c r="AO64" s="74"/>
    </row>
    <row r="65" spans="2:45" ht="14.5" x14ac:dyDescent="0.35">
      <c r="B65" s="261" t="s">
        <v>41</v>
      </c>
      <c r="C65" s="156">
        <v>2.45200190057728</v>
      </c>
      <c r="D65" s="156">
        <v>2.4667596449628202</v>
      </c>
      <c r="E65" s="154"/>
      <c r="F65" s="5">
        <f t="shared" si="4"/>
        <v>0.93783693245695787</v>
      </c>
      <c r="G65" s="7">
        <f t="shared" si="5"/>
        <v>0.65759920658054338</v>
      </c>
      <c r="H65" s="24">
        <f t="shared" si="3"/>
        <v>37.975113279192982</v>
      </c>
      <c r="I65" s="25">
        <f t="shared" si="6"/>
        <v>37.482366201723963</v>
      </c>
      <c r="J65" s="7">
        <f t="shared" si="7"/>
        <v>-1.3060258064772334</v>
      </c>
      <c r="U65" s="107"/>
      <c r="AE65" s="74"/>
      <c r="AO65" s="74"/>
    </row>
    <row r="66" spans="2:45" ht="14.5" x14ac:dyDescent="0.35">
      <c r="B66" s="260" t="s">
        <v>50</v>
      </c>
      <c r="C66" s="156">
        <v>5.7889723569646998</v>
      </c>
      <c r="D66" s="156">
        <v>5.4190770538007298</v>
      </c>
      <c r="E66" s="154"/>
      <c r="F66" s="5">
        <f t="shared" si="4"/>
        <v>0.86271458072883345</v>
      </c>
      <c r="G66" s="7">
        <f t="shared" si="5"/>
        <v>1.142910901347052</v>
      </c>
      <c r="H66" s="24">
        <f t="shared" si="3"/>
        <v>45.257390144231671</v>
      </c>
      <c r="I66" s="25">
        <f t="shared" si="6"/>
        <v>46.281493028257977</v>
      </c>
      <c r="J66" s="7">
        <f t="shared" si="7"/>
        <v>2.2375254067641523</v>
      </c>
      <c r="U66" s="107"/>
      <c r="AE66" s="74"/>
      <c r="AO66" s="74"/>
    </row>
    <row r="67" spans="2:45" ht="14.5" x14ac:dyDescent="0.35">
      <c r="B67" s="261" t="s">
        <v>38</v>
      </c>
      <c r="C67" s="157">
        <v>6.7720435268245502</v>
      </c>
      <c r="D67" s="157">
        <v>6.5619356351766696</v>
      </c>
      <c r="E67" s="154"/>
      <c r="F67" s="5">
        <f t="shared" si="4"/>
        <v>0</v>
      </c>
      <c r="G67" s="7">
        <f t="shared" si="5"/>
        <v>0.28030687431086709</v>
      </c>
      <c r="H67" s="24">
        <f t="shared" si="3"/>
        <v>48.75</v>
      </c>
      <c r="I67" s="25">
        <f t="shared" si="6"/>
        <v>49.021758508511567</v>
      </c>
      <c r="J67" s="7">
        <f t="shared" si="7"/>
        <v>0.55590389833871956</v>
      </c>
      <c r="U67" s="107"/>
      <c r="AE67" s="74"/>
      <c r="AO67" s="74"/>
    </row>
    <row r="68" spans="2:45" ht="14.5" x14ac:dyDescent="0.35">
      <c r="B68" s="260" t="s">
        <v>51</v>
      </c>
      <c r="C68" s="156">
        <v>0.38134097253253701</v>
      </c>
      <c r="D68" s="156">
        <v>0.30974601459841999</v>
      </c>
      <c r="E68" s="154"/>
      <c r="F68" s="5">
        <f t="shared" si="4"/>
        <v>4.3991952477023348</v>
      </c>
      <c r="G68" s="7">
        <f t="shared" si="5"/>
        <v>4.6771950961506032</v>
      </c>
      <c r="H68" s="24">
        <f t="shared" si="3"/>
        <v>2.9592508045258019</v>
      </c>
      <c r="I68" s="25">
        <f t="shared" si="6"/>
        <v>3.2328328570279048</v>
      </c>
      <c r="J68" s="7">
        <f t="shared" si="7"/>
        <v>8.8365102106342075</v>
      </c>
      <c r="U68" s="107"/>
      <c r="AE68" s="74"/>
      <c r="AO68" s="74"/>
    </row>
    <row r="69" spans="2:45" ht="14.5" x14ac:dyDescent="0.35">
      <c r="B69" s="261" t="s">
        <v>42</v>
      </c>
      <c r="C69" s="156">
        <v>41.067885952617097</v>
      </c>
      <c r="D69" s="156">
        <v>39.489703347666399</v>
      </c>
      <c r="E69" s="154"/>
      <c r="F69" s="5">
        <f t="shared" si="4"/>
        <v>0.19172964182448626</v>
      </c>
      <c r="G69" s="7">
        <f t="shared" si="5"/>
        <v>0.47202636886430183</v>
      </c>
      <c r="H69" s="24">
        <f t="shared" si="3"/>
        <v>321.15394885136419</v>
      </c>
      <c r="I69" s="25">
        <f t="shared" si="6"/>
        <v>324.16168791640746</v>
      </c>
      <c r="J69" s="7">
        <f t="shared" si="7"/>
        <v>0.93217609915925737</v>
      </c>
      <c r="U69" s="107"/>
      <c r="AE69" s="74"/>
      <c r="AO69" s="74"/>
    </row>
    <row r="70" spans="2:45" ht="14.5" x14ac:dyDescent="0.35">
      <c r="B70" s="260" t="s">
        <v>52</v>
      </c>
      <c r="C70" s="156">
        <v>0.77713793968889799</v>
      </c>
      <c r="D70" s="156">
        <v>0.73661559143973498</v>
      </c>
      <c r="E70" s="154"/>
      <c r="F70" s="5">
        <f t="shared" si="4"/>
        <v>0.55083838009855157</v>
      </c>
      <c r="G70" s="7">
        <f t="shared" si="5"/>
        <v>0.83109392479048583</v>
      </c>
      <c r="H70" s="24">
        <f t="shared" si="3"/>
        <v>6.0766288307785761</v>
      </c>
      <c r="I70" s="25">
        <f t="shared" si="6"/>
        <v>6.1766770565320552</v>
      </c>
      <c r="J70" s="7">
        <f t="shared" si="7"/>
        <v>1.6329997255204058</v>
      </c>
      <c r="U70" s="107"/>
      <c r="AE70" s="74"/>
      <c r="AO70" s="74"/>
    </row>
    <row r="71" spans="2:45" ht="14.5" x14ac:dyDescent="0.35">
      <c r="B71" s="260" t="s">
        <v>53</v>
      </c>
      <c r="C71" s="156">
        <v>3.3920031685826002</v>
      </c>
      <c r="D71" s="156">
        <v>2.1247670957598501</v>
      </c>
      <c r="E71" s="154"/>
      <c r="F71" s="5">
        <f t="shared" si="4"/>
        <v>10.73630184260619</v>
      </c>
      <c r="G71" s="7">
        <f t="shared" si="5"/>
        <v>11.003363048005637</v>
      </c>
      <c r="H71" s="24">
        <f t="shared" si="3"/>
        <v>25.356968643362332</v>
      </c>
      <c r="I71" s="25">
        <f t="shared" si="6"/>
        <v>30.868679686362068</v>
      </c>
      <c r="J71" s="7">
        <f t="shared" si="7"/>
        <v>19.605682483827934</v>
      </c>
      <c r="U71" s="107"/>
      <c r="AE71" s="74"/>
      <c r="AO71" s="74"/>
    </row>
    <row r="72" spans="2:45" ht="14.5" x14ac:dyDescent="0.35">
      <c r="B72" s="260" t="s">
        <v>54</v>
      </c>
      <c r="C72" s="156">
        <v>0.71380907662221704</v>
      </c>
      <c r="D72" s="156">
        <v>0.76675584374750005</v>
      </c>
      <c r="E72" s="154"/>
      <c r="F72" s="5">
        <f t="shared" si="4"/>
        <v>2.574475337574432</v>
      </c>
      <c r="G72" s="7">
        <f t="shared" si="5"/>
        <v>2.2948308828444799</v>
      </c>
      <c r="H72" s="24">
        <f t="shared" si="3"/>
        <v>10.973665912547386</v>
      </c>
      <c r="I72" s="25">
        <f t="shared" si="6"/>
        <v>10.475702475525317</v>
      </c>
      <c r="J72" s="7">
        <f t="shared" si="7"/>
        <v>-4.6431524510434539</v>
      </c>
      <c r="U72" s="107"/>
      <c r="AE72" s="74"/>
      <c r="AO72" s="74"/>
    </row>
    <row r="73" spans="2:45" ht="14.5" x14ac:dyDescent="0.35">
      <c r="B73" s="260" t="s">
        <v>55</v>
      </c>
      <c r="C73" s="156">
        <v>0.86378175926443101</v>
      </c>
      <c r="D73" s="156">
        <v>0.76302522721076604</v>
      </c>
      <c r="E73" s="154"/>
      <c r="F73" s="5">
        <f t="shared" si="4"/>
        <v>2.3111465090767713</v>
      </c>
      <c r="G73" s="7">
        <f t="shared" si="5"/>
        <v>2.5907820285957475</v>
      </c>
      <c r="H73" s="24">
        <f t="shared" si="3"/>
        <v>6.7405359232078714</v>
      </c>
      <c r="I73" s="25">
        <f t="shared" si="6"/>
        <v>7.0859241715045309</v>
      </c>
      <c r="J73" s="7">
        <f t="shared" si="7"/>
        <v>4.9960473748265466</v>
      </c>
      <c r="U73" s="107"/>
      <c r="AE73" s="74"/>
      <c r="AO73" s="74"/>
    </row>
    <row r="74" spans="2:45" ht="14.5" x14ac:dyDescent="0.35">
      <c r="B74" s="260" t="s">
        <v>56</v>
      </c>
      <c r="C74" s="156">
        <v>0.94554008065430395</v>
      </c>
      <c r="D74" s="156">
        <v>1.2701301359583499</v>
      </c>
      <c r="E74" s="154"/>
      <c r="F74" s="5">
        <f t="shared" si="4"/>
        <v>8.0940549637680856</v>
      </c>
      <c r="G74" s="7">
        <f t="shared" si="5"/>
        <v>7.8208457235806428</v>
      </c>
      <c r="H74" s="24">
        <f t="shared" si="3"/>
        <v>7.2054799503041016</v>
      </c>
      <c r="I74" s="25">
        <f t="shared" si="6"/>
        <v>6.0887403612412552</v>
      </c>
      <c r="J74" s="7">
        <f t="shared" si="7"/>
        <v>-16.800377350343965</v>
      </c>
      <c r="U74" s="107"/>
      <c r="AE74" s="74"/>
      <c r="AO74" s="74"/>
    </row>
    <row r="75" spans="2:45" ht="14.5" x14ac:dyDescent="0.35">
      <c r="B75" s="263" t="s">
        <v>39</v>
      </c>
      <c r="C75" s="180">
        <v>5.75914986385063</v>
      </c>
      <c r="D75" s="180">
        <v>4.1716056837868498</v>
      </c>
      <c r="E75" s="181"/>
      <c r="F75" s="128">
        <f t="shared" si="4"/>
        <v>7.2233976865451934</v>
      </c>
      <c r="G75" s="40">
        <f t="shared" si="5"/>
        <v>7.4976321744927521</v>
      </c>
      <c r="H75" s="269">
        <f t="shared" si="3"/>
        <v>163.64506490913649</v>
      </c>
      <c r="I75" s="267">
        <f t="shared" si="6"/>
        <v>187.88687701449319</v>
      </c>
      <c r="J75" s="40">
        <f t="shared" si="7"/>
        <v>13.792096372638158</v>
      </c>
      <c r="U75" s="107"/>
      <c r="AE75" s="74"/>
      <c r="AO75" s="74"/>
    </row>
    <row r="76" spans="2:45" ht="14.5" x14ac:dyDescent="0.35">
      <c r="B76" s="151"/>
      <c r="C76"/>
      <c r="D76"/>
      <c r="E76"/>
      <c r="F76"/>
      <c r="G76"/>
      <c r="H76"/>
      <c r="I76"/>
      <c r="M76" s="48"/>
      <c r="N76" s="48"/>
      <c r="O76" s="48"/>
      <c r="R76" s="87"/>
      <c r="S76" s="46"/>
      <c r="T76" s="46"/>
      <c r="U76" s="107"/>
      <c r="V76" s="107"/>
      <c r="W76" s="107"/>
      <c r="X76" s="107"/>
      <c r="Y76" s="107"/>
      <c r="Z76" s="107"/>
      <c r="AA76" s="74"/>
      <c r="AB76" s="74"/>
      <c r="AC76" s="74"/>
      <c r="AD76" s="74"/>
      <c r="AE76" s="74"/>
      <c r="AF76" s="108"/>
      <c r="AG76" s="108"/>
      <c r="AH76" s="74"/>
      <c r="AI76" s="74"/>
      <c r="AJ76" s="74"/>
      <c r="AK76" s="109"/>
      <c r="AL76" s="74"/>
      <c r="AM76" s="109"/>
      <c r="AN76" s="109"/>
      <c r="AO76" s="74"/>
      <c r="AP76" s="74"/>
      <c r="AQ76" s="74"/>
      <c r="AR76" s="87"/>
      <c r="AS76" s="29"/>
    </row>
    <row r="77" spans="2:45" x14ac:dyDescent="0.3">
      <c r="B77" s="48"/>
      <c r="C77" s="48"/>
      <c r="D77" s="49"/>
      <c r="E77" s="49"/>
    </row>
    <row r="78" spans="2:45" ht="14.5" x14ac:dyDescent="0.35">
      <c r="B78" s="164" t="s">
        <v>62</v>
      </c>
      <c r="C78" s="360" t="s">
        <v>67</v>
      </c>
      <c r="D78" s="361"/>
      <c r="E78" s="362"/>
      <c r="F78"/>
      <c r="G78"/>
      <c r="H78"/>
    </row>
    <row r="79" spans="2:45" ht="14.5" x14ac:dyDescent="0.35">
      <c r="B79" s="176" t="s">
        <v>61</v>
      </c>
      <c r="C79" s="14"/>
      <c r="D79" s="174">
        <v>19.5</v>
      </c>
      <c r="E79" s="126"/>
      <c r="F79"/>
      <c r="G79"/>
      <c r="H79"/>
    </row>
    <row r="80" spans="2:45" ht="14.5" x14ac:dyDescent="0.35">
      <c r="B80" s="173" t="s">
        <v>26</v>
      </c>
      <c r="C80" s="82"/>
      <c r="D80" s="189">
        <v>40</v>
      </c>
      <c r="E80" s="26"/>
      <c r="F80"/>
      <c r="G80"/>
      <c r="H80"/>
    </row>
    <row r="81" spans="2:10" ht="14.5" x14ac:dyDescent="0.3">
      <c r="B81" s="363" t="s">
        <v>0</v>
      </c>
      <c r="C81" s="258" t="s">
        <v>89</v>
      </c>
      <c r="D81" s="218"/>
      <c r="E81" s="219"/>
      <c r="F81" s="358" t="s">
        <v>83</v>
      </c>
      <c r="G81" s="359"/>
      <c r="H81" s="323" t="s">
        <v>58</v>
      </c>
      <c r="I81" s="325"/>
      <c r="J81" s="182" t="s">
        <v>64</v>
      </c>
    </row>
    <row r="82" spans="2:10" ht="14" x14ac:dyDescent="0.3">
      <c r="B82" s="364"/>
      <c r="C82" s="212" t="s">
        <v>21</v>
      </c>
      <c r="D82" s="212" t="s">
        <v>8</v>
      </c>
      <c r="E82" s="212" t="s">
        <v>22</v>
      </c>
      <c r="F82" s="200" t="s">
        <v>28</v>
      </c>
      <c r="G82" s="215" t="s">
        <v>27</v>
      </c>
      <c r="H82" s="182" t="s">
        <v>28</v>
      </c>
      <c r="I82" s="182" t="s">
        <v>27</v>
      </c>
      <c r="J82" s="183" t="s">
        <v>63</v>
      </c>
    </row>
    <row r="83" spans="2:10" x14ac:dyDescent="0.3">
      <c r="B83" s="259" t="s">
        <v>2</v>
      </c>
      <c r="C83" s="178">
        <v>258.86765693799299</v>
      </c>
      <c r="D83" s="178">
        <v>394.85077350914497</v>
      </c>
      <c r="E83" s="179"/>
      <c r="F83" s="101">
        <f t="shared" ref="F83:F108" si="8">ABS(((C83/C$100)-(D83/D$100))/((C83/C$100)+(D83/D$100))/2)*100</f>
        <v>6.958303032929618</v>
      </c>
      <c r="G83" s="54">
        <f t="shared" ref="G83:G108" si="9">ABS(((C83/C$87)-(D83/D$87))/((C83/C$87)+(D83/D$87))/2)*100</f>
        <v>8.1017378241871576</v>
      </c>
      <c r="H83" s="268">
        <f t="shared" ref="H83:H108" si="10">D$79*I17*((C83/C$100+D83/D$100)/2)/D$80*100</f>
        <v>5360.0916224097418</v>
      </c>
      <c r="I83" s="266">
        <f t="shared" ref="I83:I108" si="11">H17*789270*(C83/C$87+D83/D$87)/2</f>
        <v>5296.4427599359669</v>
      </c>
      <c r="J83" s="54">
        <f>(H83-I83)/((H83+I83)/2)*100</f>
        <v>1.1945508772386573</v>
      </c>
    </row>
    <row r="84" spans="2:10" x14ac:dyDescent="0.3">
      <c r="B84" s="260" t="s">
        <v>45</v>
      </c>
      <c r="C84" s="155">
        <v>22.349724104154699</v>
      </c>
      <c r="D84" s="155">
        <v>32.671373880516697</v>
      </c>
      <c r="E84" s="51"/>
      <c r="F84" s="5">
        <f t="shared" si="8"/>
        <v>5.9133087518267429</v>
      </c>
      <c r="G84" s="7">
        <f t="shared" si="9"/>
        <v>7.0635777033261613</v>
      </c>
      <c r="H84" s="24">
        <f t="shared" si="10"/>
        <v>259.90183679011602</v>
      </c>
      <c r="I84" s="25">
        <f t="shared" si="11"/>
        <v>257.35928710224692</v>
      </c>
      <c r="J84" s="7">
        <f t="shared" ref="J84:J86" si="12">(H84-I84)/((H84+I84)/2)*100</f>
        <v>0.98308168560457199</v>
      </c>
    </row>
    <row r="85" spans="2:10" x14ac:dyDescent="0.3">
      <c r="B85" s="261" t="s">
        <v>4</v>
      </c>
      <c r="C85" s="155">
        <v>80.548671623645802</v>
      </c>
      <c r="D85" s="155">
        <v>57.054229447245199</v>
      </c>
      <c r="E85" s="51"/>
      <c r="F85" s="5">
        <f t="shared" si="8"/>
        <v>11.937593390638941</v>
      </c>
      <c r="G85" s="7">
        <f t="shared" si="9"/>
        <v>10.828265260083668</v>
      </c>
      <c r="H85" s="24">
        <f t="shared" si="10"/>
        <v>1180.695298735176</v>
      </c>
      <c r="I85" s="25">
        <f t="shared" si="11"/>
        <v>1153.7315899022574</v>
      </c>
      <c r="J85" s="7">
        <f t="shared" si="12"/>
        <v>2.3100923797752286</v>
      </c>
    </row>
    <row r="86" spans="2:10" x14ac:dyDescent="0.3">
      <c r="B86" s="261" t="s">
        <v>5</v>
      </c>
      <c r="C86" s="155">
        <v>24.244380824798501</v>
      </c>
      <c r="D86" s="155">
        <v>27.4134902735099</v>
      </c>
      <c r="E86" s="51"/>
      <c r="F86" s="5">
        <f t="shared" si="8"/>
        <v>0.47974660792768692</v>
      </c>
      <c r="G86" s="7">
        <f t="shared" si="9"/>
        <v>0.69022212358345147</v>
      </c>
      <c r="H86" s="24">
        <f t="shared" si="10"/>
        <v>453.24992443596466</v>
      </c>
      <c r="I86" s="25">
        <f t="shared" si="11"/>
        <v>445.17903763357572</v>
      </c>
      <c r="J86" s="7">
        <f t="shared" si="12"/>
        <v>1.7966666577171713</v>
      </c>
    </row>
    <row r="87" spans="2:10" x14ac:dyDescent="0.3">
      <c r="B87" s="262" t="s">
        <v>6</v>
      </c>
      <c r="C87" s="158">
        <v>63936.792736536903</v>
      </c>
      <c r="D87" s="158">
        <v>70325.517214758394</v>
      </c>
      <c r="E87" s="51"/>
      <c r="F87" s="5">
        <f t="shared" si="8"/>
        <v>1.169813786529478</v>
      </c>
      <c r="G87" s="7">
        <f t="shared" si="9"/>
        <v>0</v>
      </c>
      <c r="H87" s="24">
        <f t="shared" si="10"/>
        <v>0</v>
      </c>
      <c r="I87" s="25">
        <f t="shared" si="11"/>
        <v>789270</v>
      </c>
      <c r="J87" s="7"/>
    </row>
    <row r="88" spans="2:10" x14ac:dyDescent="0.3">
      <c r="B88" s="260" t="s">
        <v>46</v>
      </c>
      <c r="C88" s="155">
        <v>0.96520169842317605</v>
      </c>
      <c r="D88" s="155">
        <v>0.69938311975055201</v>
      </c>
      <c r="E88" s="52"/>
      <c r="F88" s="5">
        <f t="shared" si="8"/>
        <v>11.400513467196703</v>
      </c>
      <c r="G88" s="7">
        <f t="shared" si="9"/>
        <v>10.285568985755685</v>
      </c>
      <c r="H88" s="24">
        <f t="shared" si="10"/>
        <v>7.1975934072196006</v>
      </c>
      <c r="I88" s="25">
        <f t="shared" si="11"/>
        <v>7.0299551662745197</v>
      </c>
      <c r="J88" s="7">
        <f t="shared" ref="J88:J108" si="13">(H88-I88)/((H88+I88)/2)*100</f>
        <v>2.3565302213396127</v>
      </c>
    </row>
    <row r="89" spans="2:10" x14ac:dyDescent="0.3">
      <c r="B89" s="260" t="s">
        <v>14</v>
      </c>
      <c r="C89" s="155">
        <v>0.115421310702948</v>
      </c>
      <c r="D89" s="155">
        <v>0.104858636223262</v>
      </c>
      <c r="E89" s="51"/>
      <c r="F89" s="5">
        <f t="shared" si="8"/>
        <v>5.9224839180377211</v>
      </c>
      <c r="G89" s="7">
        <f t="shared" si="9"/>
        <v>4.7658777194777331</v>
      </c>
      <c r="H89" s="24">
        <f t="shared" si="10"/>
        <v>0.67562591980654441</v>
      </c>
      <c r="I89" s="25">
        <f t="shared" si="11"/>
        <v>0.66417307372718593</v>
      </c>
      <c r="J89" s="7">
        <f t="shared" si="13"/>
        <v>1.7096364655643619</v>
      </c>
    </row>
    <row r="90" spans="2:10" x14ac:dyDescent="0.3">
      <c r="B90" s="260" t="s">
        <v>47</v>
      </c>
      <c r="C90" s="155">
        <v>1.24157770351324</v>
      </c>
      <c r="D90" s="155">
        <v>0.729054904767931</v>
      </c>
      <c r="E90" s="51"/>
      <c r="F90" s="5">
        <f t="shared" si="8"/>
        <v>16.249439196668959</v>
      </c>
      <c r="G90" s="7">
        <f t="shared" si="9"/>
        <v>15.195162239509477</v>
      </c>
      <c r="H90" s="24">
        <f t="shared" si="10"/>
        <v>8.3114349378961538</v>
      </c>
      <c r="I90" s="25">
        <f t="shared" si="11"/>
        <v>8.1036201459947073</v>
      </c>
      <c r="J90" s="7">
        <f t="shared" si="13"/>
        <v>2.532002370255686</v>
      </c>
    </row>
    <row r="91" spans="2:10" x14ac:dyDescent="0.3">
      <c r="B91" s="261" t="s">
        <v>15</v>
      </c>
      <c r="C91" s="155">
        <v>32.527286587768401</v>
      </c>
      <c r="D91" s="155">
        <v>36.649441481180602</v>
      </c>
      <c r="E91" s="51"/>
      <c r="F91" s="5">
        <f t="shared" si="8"/>
        <v>0.5680244288088786</v>
      </c>
      <c r="G91" s="7">
        <f t="shared" si="9"/>
        <v>0.60194935171878017</v>
      </c>
      <c r="H91" s="24">
        <f t="shared" si="10"/>
        <v>336.20358638111037</v>
      </c>
      <c r="I91" s="25">
        <f t="shared" si="11"/>
        <v>330.19321763667745</v>
      </c>
      <c r="J91" s="7">
        <f t="shared" si="13"/>
        <v>1.8038408072174643</v>
      </c>
    </row>
    <row r="92" spans="2:10" x14ac:dyDescent="0.3">
      <c r="B92" s="261" t="s">
        <v>1</v>
      </c>
      <c r="C92" s="155">
        <v>47.5219979916846</v>
      </c>
      <c r="D92" s="155">
        <v>51.4513893444704</v>
      </c>
      <c r="E92" s="51"/>
      <c r="F92" s="5">
        <f t="shared" si="8"/>
        <v>1.5643910498780385</v>
      </c>
      <c r="G92" s="7">
        <f t="shared" si="9"/>
        <v>0.39486631278944251</v>
      </c>
      <c r="H92" s="24">
        <f t="shared" si="10"/>
        <v>420.22447153061444</v>
      </c>
      <c r="I92" s="25">
        <f t="shared" si="11"/>
        <v>412.45783273390754</v>
      </c>
      <c r="J92" s="7">
        <f t="shared" si="13"/>
        <v>1.8654506663419228</v>
      </c>
    </row>
    <row r="93" spans="2:10" x14ac:dyDescent="0.3">
      <c r="B93" s="260" t="s">
        <v>16</v>
      </c>
      <c r="C93" s="155">
        <v>0.635128667280218</v>
      </c>
      <c r="D93" s="155">
        <v>0.70419843118044101</v>
      </c>
      <c r="E93" s="51"/>
      <c r="F93" s="5">
        <f t="shared" si="8"/>
        <v>0.97008435959380879</v>
      </c>
      <c r="G93" s="7">
        <f t="shared" si="9"/>
        <v>0.19982013073274824</v>
      </c>
      <c r="H93" s="24">
        <f t="shared" si="10"/>
        <v>5.4103690320928468</v>
      </c>
      <c r="I93" s="25">
        <f t="shared" si="11"/>
        <v>5.3148244990717677</v>
      </c>
      <c r="J93" s="7">
        <f t="shared" si="13"/>
        <v>1.7816840832466405</v>
      </c>
    </row>
    <row r="94" spans="2:10" x14ac:dyDescent="0.3">
      <c r="B94" s="260" t="s">
        <v>48</v>
      </c>
      <c r="C94" s="155">
        <v>2.8626395642858999</v>
      </c>
      <c r="D94" s="155">
        <v>1.6524173627321801</v>
      </c>
      <c r="E94" s="51"/>
      <c r="F94" s="5">
        <f t="shared" si="8"/>
        <v>16.631067803270465</v>
      </c>
      <c r="G94" s="7">
        <f t="shared" si="9"/>
        <v>15.582518750877464</v>
      </c>
      <c r="H94" s="24">
        <f t="shared" si="10"/>
        <v>20.610740147358079</v>
      </c>
      <c r="I94" s="25">
        <f t="shared" si="11"/>
        <v>20.063606696925458</v>
      </c>
      <c r="J94" s="7">
        <f t="shared" si="13"/>
        <v>2.6903121642112708</v>
      </c>
    </row>
    <row r="95" spans="2:10" x14ac:dyDescent="0.3">
      <c r="B95" s="261" t="s">
        <v>17</v>
      </c>
      <c r="C95" s="155">
        <v>65.319338766572898</v>
      </c>
      <c r="D95" s="155">
        <v>71.724040595481</v>
      </c>
      <c r="E95" s="51"/>
      <c r="F95" s="5">
        <f t="shared" si="8"/>
        <v>1.2123368041608871</v>
      </c>
      <c r="G95" s="7">
        <f t="shared" si="9"/>
        <v>4.2547153922275073E-2</v>
      </c>
      <c r="H95" s="24">
        <f t="shared" si="10"/>
        <v>538.08323993092995</v>
      </c>
      <c r="I95" s="25">
        <f t="shared" si="11"/>
        <v>528.17942058341055</v>
      </c>
      <c r="J95" s="7">
        <f t="shared" si="13"/>
        <v>1.8576697307851009</v>
      </c>
    </row>
    <row r="96" spans="2:10" ht="14.5" x14ac:dyDescent="0.35">
      <c r="B96" s="261" t="s">
        <v>18</v>
      </c>
      <c r="C96" s="156">
        <v>285.99621637552298</v>
      </c>
      <c r="D96" s="156">
        <v>318.947593795182</v>
      </c>
      <c r="E96" s="154"/>
      <c r="F96" s="5">
        <f t="shared" si="8"/>
        <v>0.82474004012639923</v>
      </c>
      <c r="G96" s="7">
        <f t="shared" si="9"/>
        <v>0.3452069676085367</v>
      </c>
      <c r="H96" s="24">
        <f t="shared" si="10"/>
        <v>2425.2786449030532</v>
      </c>
      <c r="I96" s="25">
        <f t="shared" si="11"/>
        <v>2380.9818294619063</v>
      </c>
      <c r="J96" s="7">
        <f t="shared" si="13"/>
        <v>1.8432964953693967</v>
      </c>
    </row>
    <row r="97" spans="2:10" ht="14.5" x14ac:dyDescent="0.35">
      <c r="B97" s="261" t="s">
        <v>40</v>
      </c>
      <c r="C97" s="156">
        <v>2.7425739783157801</v>
      </c>
      <c r="D97" s="156">
        <v>3.0500338615289602</v>
      </c>
      <c r="E97" s="154"/>
      <c r="F97" s="5">
        <f t="shared" si="8"/>
        <v>0.89452989650591874</v>
      </c>
      <c r="G97" s="7">
        <f t="shared" si="9"/>
        <v>0.27539916477789678</v>
      </c>
      <c r="H97" s="24">
        <f t="shared" si="10"/>
        <v>22.850510930993114</v>
      </c>
      <c r="I97" s="25">
        <f t="shared" si="11"/>
        <v>22.418226252733096</v>
      </c>
      <c r="J97" s="7">
        <f t="shared" si="13"/>
        <v>1.9098596742628877</v>
      </c>
    </row>
    <row r="98" spans="2:10" ht="14.5" x14ac:dyDescent="0.35">
      <c r="B98" s="261" t="s">
        <v>41</v>
      </c>
      <c r="C98" s="156">
        <v>1.72939432866636</v>
      </c>
      <c r="D98" s="156">
        <v>1.8981689014404499</v>
      </c>
      <c r="E98" s="154"/>
      <c r="F98" s="5">
        <f t="shared" si="8"/>
        <v>1.2228156699552721</v>
      </c>
      <c r="G98" s="7">
        <f t="shared" si="9"/>
        <v>5.3032227758622666E-2</v>
      </c>
      <c r="H98" s="24">
        <f t="shared" si="10"/>
        <v>29.72046921381714</v>
      </c>
      <c r="I98" s="25">
        <f t="shared" si="11"/>
        <v>29.181783445763376</v>
      </c>
      <c r="J98" s="7">
        <f t="shared" si="13"/>
        <v>1.8290837573464045</v>
      </c>
    </row>
    <row r="99" spans="2:10" ht="14.5" x14ac:dyDescent="0.35">
      <c r="B99" s="260" t="s">
        <v>50</v>
      </c>
      <c r="C99" s="156">
        <v>4.3427474350314297</v>
      </c>
      <c r="D99" s="156">
        <v>2.7020997695070301</v>
      </c>
      <c r="E99" s="154"/>
      <c r="F99" s="5">
        <f t="shared" si="8"/>
        <v>14.942640269980354</v>
      </c>
      <c r="G99" s="7">
        <f t="shared" si="9"/>
        <v>13.869804749640952</v>
      </c>
      <c r="H99" s="24">
        <f t="shared" si="10"/>
        <v>30.805077671366604</v>
      </c>
      <c r="I99" s="25">
        <f t="shared" si="11"/>
        <v>30.034255027817039</v>
      </c>
      <c r="J99" s="7">
        <f t="shared" si="13"/>
        <v>2.5339615322898101</v>
      </c>
    </row>
    <row r="100" spans="2:10" ht="14.5" x14ac:dyDescent="0.35">
      <c r="B100" s="261" t="s">
        <v>38</v>
      </c>
      <c r="C100" s="157">
        <v>5.8454726018566197</v>
      </c>
      <c r="D100" s="157">
        <v>6.7376302399804002</v>
      </c>
      <c r="E100" s="154"/>
      <c r="F100" s="5">
        <f t="shared" si="8"/>
        <v>0</v>
      </c>
      <c r="G100" s="7">
        <f t="shared" si="9"/>
        <v>1.1698137865294769</v>
      </c>
      <c r="H100" s="24">
        <f t="shared" si="10"/>
        <v>48.75</v>
      </c>
      <c r="I100" s="25">
        <f t="shared" si="11"/>
        <v>47.87870435193566</v>
      </c>
      <c r="J100" s="7">
        <f t="shared" si="13"/>
        <v>1.8033888665027646</v>
      </c>
    </row>
    <row r="101" spans="2:10" ht="14.5" x14ac:dyDescent="0.35">
      <c r="B101" s="260" t="s">
        <v>51</v>
      </c>
      <c r="C101" s="156">
        <v>0.32524420715039798</v>
      </c>
      <c r="D101" s="156">
        <v>0.193368206403042</v>
      </c>
      <c r="E101" s="154"/>
      <c r="F101" s="5">
        <f t="shared" si="8"/>
        <v>15.971422049554135</v>
      </c>
      <c r="G101" s="7">
        <f t="shared" si="9"/>
        <v>14.913060061190711</v>
      </c>
      <c r="H101" s="24">
        <f t="shared" si="10"/>
        <v>2.4110966280346982</v>
      </c>
      <c r="I101" s="25">
        <f t="shared" si="11"/>
        <v>2.3468712481107099</v>
      </c>
      <c r="J101" s="7">
        <f t="shared" si="13"/>
        <v>2.6996979212906931</v>
      </c>
    </row>
    <row r="102" spans="2:10" ht="14.5" x14ac:dyDescent="0.35">
      <c r="B102" s="261" t="s">
        <v>42</v>
      </c>
      <c r="C102" s="156">
        <v>47.994583722737502</v>
      </c>
      <c r="D102" s="156">
        <v>41.699969318906298</v>
      </c>
      <c r="E102" s="154"/>
      <c r="F102" s="5">
        <f t="shared" si="8"/>
        <v>7.0190540041590328</v>
      </c>
      <c r="G102" s="7">
        <f t="shared" si="9"/>
        <v>5.8685147348955748</v>
      </c>
      <c r="H102" s="24">
        <f t="shared" si="10"/>
        <v>382.75018931504417</v>
      </c>
      <c r="I102" s="25">
        <f t="shared" si="11"/>
        <v>374.65060343243289</v>
      </c>
      <c r="J102" s="7">
        <f t="shared" si="13"/>
        <v>2.1387846329629445</v>
      </c>
    </row>
    <row r="103" spans="2:10" ht="14.5" x14ac:dyDescent="0.35">
      <c r="B103" s="260" t="s">
        <v>52</v>
      </c>
      <c r="C103" s="156">
        <v>0.33189801137968</v>
      </c>
      <c r="D103" s="156">
        <v>0.288457481879897</v>
      </c>
      <c r="E103" s="154"/>
      <c r="F103" s="5">
        <f t="shared" si="8"/>
        <v>7.0115118606201206</v>
      </c>
      <c r="G103" s="7">
        <f t="shared" si="9"/>
        <v>5.86092698603911</v>
      </c>
      <c r="H103" s="24">
        <f t="shared" si="10"/>
        <v>2.6658466577928892</v>
      </c>
      <c r="I103" s="25">
        <f t="shared" si="11"/>
        <v>2.6091274304883081</v>
      </c>
      <c r="J103" s="7">
        <f t="shared" si="13"/>
        <v>2.1505025941487634</v>
      </c>
    </row>
    <row r="104" spans="2:10" ht="14.5" x14ac:dyDescent="0.35">
      <c r="B104" s="260" t="s">
        <v>53</v>
      </c>
      <c r="C104" s="156">
        <v>3.9513333775049899</v>
      </c>
      <c r="D104" s="156">
        <v>1.2235426230964499</v>
      </c>
      <c r="E104" s="154"/>
      <c r="F104" s="5">
        <f t="shared" si="8"/>
        <v>28.823906704836521</v>
      </c>
      <c r="G104" s="7">
        <f t="shared" si="9"/>
        <v>28.032175238534112</v>
      </c>
      <c r="H104" s="24">
        <f t="shared" si="10"/>
        <v>26.367882692371715</v>
      </c>
      <c r="I104" s="25">
        <f t="shared" si="11"/>
        <v>25.460900500959468</v>
      </c>
      <c r="J104" s="7">
        <f t="shared" si="13"/>
        <v>3.4999169786758517</v>
      </c>
    </row>
    <row r="105" spans="2:10" ht="14.5" x14ac:dyDescent="0.35">
      <c r="B105" s="260" t="s">
        <v>54</v>
      </c>
      <c r="C105" s="156">
        <v>0.72965058358462198</v>
      </c>
      <c r="D105" s="156">
        <v>0.53085163343620001</v>
      </c>
      <c r="E105" s="154"/>
      <c r="F105" s="5">
        <f t="shared" si="8"/>
        <v>11.304359522498462</v>
      </c>
      <c r="G105" s="7">
        <f t="shared" si="9"/>
        <v>10.18843848230385</v>
      </c>
      <c r="H105" s="24">
        <f t="shared" si="10"/>
        <v>10.053227221203583</v>
      </c>
      <c r="I105" s="25">
        <f t="shared" si="11"/>
        <v>9.8298059046808142</v>
      </c>
      <c r="J105" s="7">
        <f t="shared" si="13"/>
        <v>2.2473564783424482</v>
      </c>
    </row>
    <row r="106" spans="2:10" ht="14.5" x14ac:dyDescent="0.35">
      <c r="B106" s="260" t="s">
        <v>55</v>
      </c>
      <c r="C106" s="156">
        <v>0.582833391959383</v>
      </c>
      <c r="D106" s="156">
        <v>0.58783482187163605</v>
      </c>
      <c r="E106" s="154"/>
      <c r="F106" s="5">
        <f t="shared" si="8"/>
        <v>3.3324572882450174</v>
      </c>
      <c r="G106" s="7">
        <f t="shared" si="9"/>
        <v>2.1660210688895813</v>
      </c>
      <c r="H106" s="24">
        <f t="shared" si="10"/>
        <v>5.1681793975357291</v>
      </c>
      <c r="I106" s="25">
        <f t="shared" si="11"/>
        <v>5.0639706538645353</v>
      </c>
      <c r="J106" s="7">
        <f t="shared" si="13"/>
        <v>2.0368884965077871</v>
      </c>
    </row>
    <row r="107" spans="2:10" ht="14.5" x14ac:dyDescent="0.35">
      <c r="B107" s="260" t="s">
        <v>56</v>
      </c>
      <c r="C107" s="156">
        <v>1.82898060789601</v>
      </c>
      <c r="D107" s="156">
        <v>2.6054993959034198</v>
      </c>
      <c r="E107" s="154"/>
      <c r="F107" s="5">
        <f t="shared" si="8"/>
        <v>5.2759067950390097</v>
      </c>
      <c r="G107" s="7">
        <f t="shared" si="9"/>
        <v>6.4298470163284964</v>
      </c>
      <c r="H107" s="24">
        <f t="shared" si="10"/>
        <v>15.129559326056105</v>
      </c>
      <c r="I107" s="25">
        <f t="shared" si="11"/>
        <v>14.935147750231376</v>
      </c>
      <c r="J107" s="7">
        <f t="shared" si="13"/>
        <v>1.2932876766862926</v>
      </c>
    </row>
    <row r="108" spans="2:10" ht="14.5" x14ac:dyDescent="0.35">
      <c r="B108" s="263" t="s">
        <v>39</v>
      </c>
      <c r="C108" s="180">
        <v>16.199048527981201</v>
      </c>
      <c r="D108" s="180">
        <v>3.2644912760294398</v>
      </c>
      <c r="E108" s="181"/>
      <c r="F108" s="128">
        <f t="shared" si="8"/>
        <v>35.118041644313408</v>
      </c>
      <c r="G108" s="40">
        <f t="shared" si="9"/>
        <v>34.515406686066072</v>
      </c>
      <c r="H108" s="269">
        <f t="shared" si="10"/>
        <v>358.49753073671155</v>
      </c>
      <c r="I108" s="267">
        <f t="shared" si="11"/>
        <v>345.48857008435203</v>
      </c>
      <c r="J108" s="242">
        <f t="shared" si="13"/>
        <v>3.6958004248058542</v>
      </c>
    </row>
    <row r="110" spans="2:10" x14ac:dyDescent="0.3">
      <c r="B110" s="107"/>
      <c r="C110" s="107"/>
      <c r="D110" s="107"/>
      <c r="E110" s="107"/>
      <c r="F110" s="107"/>
      <c r="G110" s="74"/>
      <c r="H110" s="74"/>
      <c r="I110" s="74"/>
      <c r="J110" s="74"/>
    </row>
    <row r="111" spans="2:10" ht="14.5" x14ac:dyDescent="0.35">
      <c r="B111" s="164" t="s">
        <v>62</v>
      </c>
      <c r="C111" s="360" t="s">
        <v>68</v>
      </c>
      <c r="D111" s="361"/>
      <c r="E111" s="362"/>
      <c r="F111"/>
      <c r="G111"/>
      <c r="H111"/>
    </row>
    <row r="112" spans="2:10" ht="14.5" x14ac:dyDescent="0.35">
      <c r="B112" s="176" t="s">
        <v>61</v>
      </c>
      <c r="C112" s="190"/>
      <c r="D112" s="174">
        <v>19.5</v>
      </c>
      <c r="E112" s="126"/>
      <c r="F112"/>
      <c r="G112"/>
      <c r="H112"/>
    </row>
    <row r="113" spans="2:10" ht="14.5" x14ac:dyDescent="0.35">
      <c r="B113" s="173" t="s">
        <v>26</v>
      </c>
      <c r="C113" s="82"/>
      <c r="D113" s="189">
        <v>40</v>
      </c>
      <c r="E113" s="26"/>
      <c r="F113"/>
      <c r="G113"/>
      <c r="H113"/>
    </row>
    <row r="114" spans="2:10" ht="14.5" x14ac:dyDescent="0.3">
      <c r="B114" s="363" t="s">
        <v>0</v>
      </c>
      <c r="C114" s="258" t="s">
        <v>89</v>
      </c>
      <c r="D114" s="218"/>
      <c r="E114" s="219"/>
      <c r="F114" s="358" t="s">
        <v>83</v>
      </c>
      <c r="G114" s="359"/>
      <c r="H114" s="323" t="s">
        <v>58</v>
      </c>
      <c r="I114" s="325"/>
      <c r="J114" s="182" t="s">
        <v>64</v>
      </c>
    </row>
    <row r="115" spans="2:10" ht="14" x14ac:dyDescent="0.3">
      <c r="B115" s="364"/>
      <c r="C115" s="212" t="s">
        <v>21</v>
      </c>
      <c r="D115" s="212" t="s">
        <v>8</v>
      </c>
      <c r="E115" s="212" t="s">
        <v>22</v>
      </c>
      <c r="F115" s="200" t="s">
        <v>28</v>
      </c>
      <c r="G115" s="215" t="s">
        <v>27</v>
      </c>
      <c r="H115" s="182" t="s">
        <v>28</v>
      </c>
      <c r="I115" s="182" t="s">
        <v>27</v>
      </c>
      <c r="J115" s="183" t="s">
        <v>63</v>
      </c>
    </row>
    <row r="116" spans="2:10" x14ac:dyDescent="0.3">
      <c r="B116" s="259" t="s">
        <v>2</v>
      </c>
      <c r="C116" s="178">
        <v>170.53278644402201</v>
      </c>
      <c r="D116" s="178">
        <v>168.93238116941299</v>
      </c>
      <c r="E116" s="179"/>
      <c r="F116" s="101">
        <f t="shared" ref="F116:F141" si="14">ABS(((C116/C$133)-(D116/D$133))/((C116/C$133)+(D116/D$133))/2)*100</f>
        <v>0.64806970002311448</v>
      </c>
      <c r="G116" s="54">
        <f t="shared" ref="G116:G141" si="15">ABS(((C116/C$120)-(D116/D$120))/((C116/C$120)+(D116/D$120))/2)*100</f>
        <v>7.2256836533064445E-2</v>
      </c>
      <c r="H116" s="268">
        <f t="shared" ref="H116:H141" si="16">D$112*I17*((C116/C$133+D116/D$133)/2)/D$113*100</f>
        <v>2696.5709486328592</v>
      </c>
      <c r="I116" s="266">
        <f t="shared" ref="I116:I141" si="17">H17*789270*(C116/C$120+D116/D$120)/2</f>
        <v>2730.1318076542166</v>
      </c>
      <c r="J116" s="54">
        <f>(H116-I116)/((H116+I116)/2)*100</f>
        <v>-1.2368784703557103</v>
      </c>
    </row>
    <row r="117" spans="2:10" x14ac:dyDescent="0.3">
      <c r="B117" s="260" t="s">
        <v>45</v>
      </c>
      <c r="C117" s="155">
        <v>23.929162364062499</v>
      </c>
      <c r="D117" s="155">
        <v>11.660344124068599</v>
      </c>
      <c r="E117" s="51"/>
      <c r="F117" s="5">
        <f t="shared" si="14"/>
        <v>17.5989012105486</v>
      </c>
      <c r="G117" s="7">
        <f t="shared" si="15"/>
        <v>17.092362227717061</v>
      </c>
      <c r="H117" s="24">
        <f t="shared" si="16"/>
        <v>163.0855952565602</v>
      </c>
      <c r="I117" s="25">
        <f t="shared" si="17"/>
        <v>164.89912003529091</v>
      </c>
      <c r="J117" s="7">
        <f t="shared" ref="J117:J119" si="18">(H117-I117)/((H117+I117)/2)*100</f>
        <v>-1.1058593246438195</v>
      </c>
    </row>
    <row r="118" spans="2:10" x14ac:dyDescent="0.3">
      <c r="B118" s="261" t="s">
        <v>4</v>
      </c>
      <c r="C118" s="155">
        <v>57.738994471194403</v>
      </c>
      <c r="D118" s="155">
        <v>49.972454822984503</v>
      </c>
      <c r="E118" s="51"/>
      <c r="F118" s="5">
        <f t="shared" si="14"/>
        <v>4.0152351973759588</v>
      </c>
      <c r="G118" s="7">
        <f t="shared" si="15"/>
        <v>3.4425953531136302</v>
      </c>
      <c r="H118" s="24">
        <f t="shared" si="16"/>
        <v>872.10701142270693</v>
      </c>
      <c r="I118" s="25">
        <f t="shared" si="17"/>
        <v>880.24567629124886</v>
      </c>
      <c r="J118" s="7">
        <f t="shared" si="18"/>
        <v>-0.92888434224497085</v>
      </c>
    </row>
    <row r="119" spans="2:10" x14ac:dyDescent="0.3">
      <c r="B119" s="261" t="s">
        <v>5</v>
      </c>
      <c r="C119" s="155">
        <v>25.743555946453</v>
      </c>
      <c r="D119" s="155">
        <v>25.402970629319299</v>
      </c>
      <c r="E119" s="51"/>
      <c r="F119" s="5">
        <f t="shared" si="14"/>
        <v>0.74528003118873654</v>
      </c>
      <c r="G119" s="7">
        <f t="shared" si="15"/>
        <v>0.16948547582144088</v>
      </c>
      <c r="H119" s="24">
        <f t="shared" si="16"/>
        <v>430.22906505078237</v>
      </c>
      <c r="I119" s="25">
        <f t="shared" si="17"/>
        <v>434.4661407784958</v>
      </c>
      <c r="J119" s="7">
        <f t="shared" si="18"/>
        <v>-0.98001601006909767</v>
      </c>
    </row>
    <row r="120" spans="2:10" x14ac:dyDescent="0.3">
      <c r="B120" s="262" t="s">
        <v>6</v>
      </c>
      <c r="C120" s="158">
        <v>68372.341727292107</v>
      </c>
      <c r="D120" s="158">
        <v>67926.7288245526</v>
      </c>
      <c r="E120" s="51"/>
      <c r="F120" s="5">
        <f t="shared" si="14"/>
        <v>0.57582364923507534</v>
      </c>
      <c r="G120" s="7">
        <f t="shared" si="15"/>
        <v>0</v>
      </c>
      <c r="H120" s="24">
        <f t="shared" si="16"/>
        <v>0</v>
      </c>
      <c r="I120" s="25">
        <f t="shared" si="17"/>
        <v>789270</v>
      </c>
      <c r="J120" s="7"/>
    </row>
    <row r="121" spans="2:10" x14ac:dyDescent="0.3">
      <c r="B121" s="260" t="s">
        <v>46</v>
      </c>
      <c r="C121" s="155">
        <v>0.80549186062330103</v>
      </c>
      <c r="D121" s="155">
        <v>0.94355431785681299</v>
      </c>
      <c r="E121" s="52"/>
      <c r="F121" s="5">
        <f t="shared" si="14"/>
        <v>3.5367248853610351</v>
      </c>
      <c r="G121" s="7">
        <f t="shared" si="15"/>
        <v>4.1092011303246414</v>
      </c>
      <c r="H121" s="24">
        <f t="shared" si="16"/>
        <v>7.1330558995337467</v>
      </c>
      <c r="I121" s="25">
        <f t="shared" si="17"/>
        <v>7.2069875655544413</v>
      </c>
      <c r="J121" s="7">
        <f t="shared" ref="J121:J141" si="19">(H121-I121)/((H121+I121)/2)*100</f>
        <v>-1.0311219237331635</v>
      </c>
    </row>
    <row r="122" spans="2:10" x14ac:dyDescent="0.3">
      <c r="B122" s="260" t="s">
        <v>14</v>
      </c>
      <c r="C122" s="155">
        <v>0.110855583822696</v>
      </c>
      <c r="D122" s="155">
        <v>0.10402762229087099</v>
      </c>
      <c r="E122" s="51"/>
      <c r="F122" s="5">
        <f t="shared" si="14"/>
        <v>2.0006071820166231</v>
      </c>
      <c r="G122" s="7">
        <f t="shared" si="15"/>
        <v>1.4254403739544188</v>
      </c>
      <c r="H122" s="24">
        <f t="shared" si="16"/>
        <v>0.62710312949168301</v>
      </c>
      <c r="I122" s="25">
        <f t="shared" si="17"/>
        <v>0.63526548782677439</v>
      </c>
      <c r="J122" s="7">
        <f t="shared" si="19"/>
        <v>-1.2931814405256659</v>
      </c>
    </row>
    <row r="123" spans="2:10" x14ac:dyDescent="0.3">
      <c r="B123" s="260" t="s">
        <v>47</v>
      </c>
      <c r="C123" s="155">
        <v>0.465693173093363</v>
      </c>
      <c r="D123" s="155">
        <v>0.41441016887927401</v>
      </c>
      <c r="E123" s="51"/>
      <c r="F123" s="5">
        <f t="shared" si="14"/>
        <v>3.3242377648616031</v>
      </c>
      <c r="G123" s="7">
        <f t="shared" si="15"/>
        <v>2.750520106048822</v>
      </c>
      <c r="H123" s="24">
        <f t="shared" si="16"/>
        <v>3.4805075593571302</v>
      </c>
      <c r="I123" s="25">
        <f t="shared" si="17"/>
        <v>3.5128860196127611</v>
      </c>
      <c r="J123" s="7">
        <f t="shared" si="19"/>
        <v>-0.9259727738761192</v>
      </c>
    </row>
    <row r="124" spans="2:10" x14ac:dyDescent="0.3">
      <c r="B124" s="261" t="s">
        <v>15</v>
      </c>
      <c r="C124" s="155">
        <v>38.150803233127498</v>
      </c>
      <c r="D124" s="155">
        <v>37.842704067707501</v>
      </c>
      <c r="E124" s="51"/>
      <c r="F124" s="5">
        <f t="shared" si="14"/>
        <v>0.61506394955061727</v>
      </c>
      <c r="G124" s="7">
        <f t="shared" si="15"/>
        <v>3.9245860172447487E-2</v>
      </c>
      <c r="H124" s="24">
        <f t="shared" si="16"/>
        <v>354.02786352074372</v>
      </c>
      <c r="I124" s="25">
        <f t="shared" si="17"/>
        <v>357.51432335121109</v>
      </c>
      <c r="J124" s="7">
        <f t="shared" si="19"/>
        <v>-0.97997276754435703</v>
      </c>
    </row>
    <row r="125" spans="2:10" x14ac:dyDescent="0.3">
      <c r="B125" s="261" t="s">
        <v>1</v>
      </c>
      <c r="C125" s="155">
        <v>54.249727579162503</v>
      </c>
      <c r="D125" s="155">
        <v>53.147255916544999</v>
      </c>
      <c r="E125" s="51"/>
      <c r="F125" s="5">
        <f t="shared" si="14"/>
        <v>0.92556139769760604</v>
      </c>
      <c r="G125" s="7">
        <f t="shared" si="15"/>
        <v>0.34981232287258351</v>
      </c>
      <c r="H125" s="24">
        <f t="shared" si="16"/>
        <v>436.49707006729608</v>
      </c>
      <c r="I125" s="25">
        <f t="shared" si="17"/>
        <v>440.69818230430116</v>
      </c>
      <c r="J125" s="7">
        <f t="shared" si="19"/>
        <v>-0.95785111140236845</v>
      </c>
    </row>
    <row r="126" spans="2:10" x14ac:dyDescent="0.3">
      <c r="B126" s="260" t="s">
        <v>16</v>
      </c>
      <c r="C126" s="155">
        <v>0.697637547613431</v>
      </c>
      <c r="D126" s="155">
        <v>0.706439834911053</v>
      </c>
      <c r="E126" s="51"/>
      <c r="F126" s="5">
        <f t="shared" si="14"/>
        <v>9.8920999376237967E-2</v>
      </c>
      <c r="G126" s="7">
        <f t="shared" si="15"/>
        <v>0.47691351605684978</v>
      </c>
      <c r="H126" s="24">
        <f t="shared" si="16"/>
        <v>5.4333171351582177</v>
      </c>
      <c r="I126" s="25">
        <f t="shared" si="17"/>
        <v>5.489725880363725</v>
      </c>
      <c r="J126" s="7">
        <f t="shared" si="19"/>
        <v>-1.0328393859723695</v>
      </c>
    </row>
    <row r="127" spans="2:10" x14ac:dyDescent="0.3">
      <c r="B127" s="260" t="s">
        <v>48</v>
      </c>
      <c r="C127" s="155">
        <v>2.21677698937135</v>
      </c>
      <c r="D127" s="155">
        <v>1.9880229846370301</v>
      </c>
      <c r="E127" s="51"/>
      <c r="F127" s="5">
        <f t="shared" si="14"/>
        <v>3.1311187261256506</v>
      </c>
      <c r="G127" s="7">
        <f t="shared" si="15"/>
        <v>2.5571392572988692</v>
      </c>
      <c r="H127" s="24">
        <f t="shared" si="16"/>
        <v>17.987043755532568</v>
      </c>
      <c r="I127" s="25">
        <f t="shared" si="17"/>
        <v>18.129720452592586</v>
      </c>
      <c r="J127" s="7">
        <f t="shared" si="19"/>
        <v>-0.79008571331492961</v>
      </c>
    </row>
    <row r="128" spans="2:10" x14ac:dyDescent="0.3">
      <c r="B128" s="261" t="s">
        <v>17</v>
      </c>
      <c r="C128" s="155">
        <v>83.255870188908503</v>
      </c>
      <c r="D128" s="155">
        <v>83.436706950206101</v>
      </c>
      <c r="E128" s="51"/>
      <c r="F128" s="5">
        <f t="shared" si="14"/>
        <v>0.35813098696060552</v>
      </c>
      <c r="G128" s="7">
        <f t="shared" si="15"/>
        <v>0.21771062081357168</v>
      </c>
      <c r="H128" s="24">
        <f t="shared" si="16"/>
        <v>626.77345457890999</v>
      </c>
      <c r="I128" s="25">
        <f t="shared" si="17"/>
        <v>632.8335493408747</v>
      </c>
      <c r="J128" s="7">
        <f t="shared" si="19"/>
        <v>-0.96221992146855817</v>
      </c>
    </row>
    <row r="129" spans="2:10" ht="14.5" x14ac:dyDescent="0.35">
      <c r="B129" s="261" t="s">
        <v>18</v>
      </c>
      <c r="C129" s="156">
        <v>382.19403352236498</v>
      </c>
      <c r="D129" s="156">
        <v>381.49943140102602</v>
      </c>
      <c r="E129" s="154"/>
      <c r="F129" s="5">
        <f t="shared" si="14"/>
        <v>0.45784344423624379</v>
      </c>
      <c r="G129" s="7">
        <f t="shared" si="15"/>
        <v>0.11799264789382774</v>
      </c>
      <c r="H129" s="24">
        <f t="shared" si="16"/>
        <v>2933.6938759208474</v>
      </c>
      <c r="I129" s="25">
        <f t="shared" si="17"/>
        <v>2961.8792062033863</v>
      </c>
      <c r="J129" s="7">
        <f t="shared" si="19"/>
        <v>-0.9561523499046648</v>
      </c>
    </row>
    <row r="130" spans="2:10" ht="14.5" x14ac:dyDescent="0.35">
      <c r="B130" s="261" t="s">
        <v>40</v>
      </c>
      <c r="C130" s="156">
        <v>4.11892960107029</v>
      </c>
      <c r="D130" s="156">
        <v>4.2052931203058703</v>
      </c>
      <c r="E130" s="154"/>
      <c r="F130" s="5">
        <f t="shared" si="14"/>
        <v>0.10638697389453541</v>
      </c>
      <c r="G130" s="7">
        <f t="shared" si="15"/>
        <v>0.68219390661313617</v>
      </c>
      <c r="H130" s="24">
        <f t="shared" si="16"/>
        <v>31.458002414017027</v>
      </c>
      <c r="I130" s="25">
        <f t="shared" si="17"/>
        <v>31.744260560292112</v>
      </c>
      <c r="J130" s="7">
        <f t="shared" si="19"/>
        <v>-0.9058477744426483</v>
      </c>
    </row>
    <row r="131" spans="2:10" ht="14.5" x14ac:dyDescent="0.35">
      <c r="B131" s="261" t="s">
        <v>41</v>
      </c>
      <c r="C131" s="156">
        <v>2.6616064495938199</v>
      </c>
      <c r="D131" s="156">
        <v>2.6349800260926299</v>
      </c>
      <c r="E131" s="154"/>
      <c r="F131" s="5">
        <f t="shared" si="14"/>
        <v>0.66369742341789917</v>
      </c>
      <c r="G131" s="7">
        <f t="shared" si="15"/>
        <v>8.7887209418702233E-2</v>
      </c>
      <c r="H131" s="24">
        <f t="shared" si="16"/>
        <v>41.558043449894996</v>
      </c>
      <c r="I131" s="25">
        <f t="shared" si="17"/>
        <v>41.969105394705991</v>
      </c>
      <c r="J131" s="7">
        <f t="shared" si="19"/>
        <v>-0.98425949047000405</v>
      </c>
    </row>
    <row r="132" spans="2:10" ht="14.5" x14ac:dyDescent="0.35">
      <c r="B132" s="260" t="s">
        <v>50</v>
      </c>
      <c r="C132" s="156">
        <v>3.5036959862470698</v>
      </c>
      <c r="D132" s="156">
        <v>3.1521442939114301</v>
      </c>
      <c r="E132" s="154"/>
      <c r="F132" s="5">
        <f t="shared" si="14"/>
        <v>3.0519673388447055</v>
      </c>
      <c r="G132" s="7">
        <f t="shared" si="15"/>
        <v>2.4778855390430485</v>
      </c>
      <c r="H132" s="24">
        <f t="shared" si="16"/>
        <v>27.339820192570318</v>
      </c>
      <c r="I132" s="25">
        <f t="shared" si="17"/>
        <v>27.57835516261224</v>
      </c>
      <c r="J132" s="7">
        <f t="shared" si="19"/>
        <v>-0.86869226262234778</v>
      </c>
    </row>
    <row r="133" spans="2:10" ht="14.5" x14ac:dyDescent="0.35">
      <c r="B133" s="261" t="s">
        <v>38</v>
      </c>
      <c r="C133" s="157">
        <v>6.5048393329709198</v>
      </c>
      <c r="D133" s="157">
        <v>6.6130277290455401</v>
      </c>
      <c r="E133" s="154"/>
      <c r="F133" s="5">
        <f t="shared" si="14"/>
        <v>0</v>
      </c>
      <c r="G133" s="7">
        <f t="shared" si="15"/>
        <v>0.57582364923507345</v>
      </c>
      <c r="H133" s="24">
        <f t="shared" si="16"/>
        <v>48.75</v>
      </c>
      <c r="I133" s="25">
        <f t="shared" si="17"/>
        <v>49.224199988343806</v>
      </c>
      <c r="J133" s="7">
        <f t="shared" si="19"/>
        <v>-0.9680099217961915</v>
      </c>
    </row>
    <row r="134" spans="2:10" ht="14.5" x14ac:dyDescent="0.35">
      <c r="B134" s="260" t="s">
        <v>51</v>
      </c>
      <c r="C134" s="156">
        <v>0.198603139544241</v>
      </c>
      <c r="D134" s="156">
        <v>0.20931382358615699</v>
      </c>
      <c r="E134" s="154"/>
      <c r="F134" s="5">
        <f t="shared" si="14"/>
        <v>0.90067568745857229</v>
      </c>
      <c r="G134" s="7">
        <f t="shared" si="15"/>
        <v>1.476193097269995</v>
      </c>
      <c r="H134" s="24">
        <f t="shared" si="16"/>
        <v>1.7776839048311313</v>
      </c>
      <c r="I134" s="25">
        <f t="shared" si="17"/>
        <v>1.7927239190924682</v>
      </c>
      <c r="J134" s="7">
        <f t="shared" si="19"/>
        <v>-0.84248158770888759</v>
      </c>
    </row>
    <row r="135" spans="2:10" ht="14.5" x14ac:dyDescent="0.35">
      <c r="B135" s="261" t="s">
        <v>42</v>
      </c>
      <c r="C135" s="156">
        <v>41.062609758438299</v>
      </c>
      <c r="D135" s="156">
        <v>41.611096769823902</v>
      </c>
      <c r="E135" s="154"/>
      <c r="F135" s="5">
        <f t="shared" si="14"/>
        <v>8.0656864338851192E-2</v>
      </c>
      <c r="G135" s="7">
        <f t="shared" si="15"/>
        <v>0.49517598410332353</v>
      </c>
      <c r="H135" s="24">
        <f t="shared" si="16"/>
        <v>335.04472065906288</v>
      </c>
      <c r="I135" s="25">
        <f t="shared" si="17"/>
        <v>338.27566164019839</v>
      </c>
      <c r="J135" s="7">
        <f t="shared" si="19"/>
        <v>-0.95970389908663334</v>
      </c>
    </row>
    <row r="136" spans="2:10" ht="14.5" x14ac:dyDescent="0.35">
      <c r="B136" s="260" t="s">
        <v>52</v>
      </c>
      <c r="C136" s="156">
        <v>0.80176623225438304</v>
      </c>
      <c r="D136" s="156">
        <v>0.82105804121474302</v>
      </c>
      <c r="E136" s="154"/>
      <c r="F136" s="5">
        <f t="shared" si="14"/>
        <v>0.18203742492487249</v>
      </c>
      <c r="G136" s="7">
        <f t="shared" si="15"/>
        <v>0.75782929945222788</v>
      </c>
      <c r="H136" s="24">
        <f t="shared" si="16"/>
        <v>6.6227433742755446</v>
      </c>
      <c r="I136" s="25">
        <f t="shared" si="17"/>
        <v>6.6862058477605251</v>
      </c>
      <c r="J136" s="7">
        <f t="shared" si="19"/>
        <v>-0.95368120241834764</v>
      </c>
    </row>
    <row r="137" spans="2:10" ht="14.5" x14ac:dyDescent="0.35">
      <c r="B137" s="260" t="s">
        <v>53</v>
      </c>
      <c r="C137" s="156">
        <v>1.3376092210946</v>
      </c>
      <c r="D137" s="156">
        <v>1.13178156169557</v>
      </c>
      <c r="E137" s="154"/>
      <c r="F137" s="5">
        <f t="shared" si="14"/>
        <v>4.576803854417828</v>
      </c>
      <c r="G137" s="7">
        <f t="shared" si="15"/>
        <v>4.005202380426133</v>
      </c>
      <c r="H137" s="24">
        <f t="shared" si="16"/>
        <v>11.584938990190503</v>
      </c>
      <c r="I137" s="25">
        <f t="shared" si="17"/>
        <v>11.645760346975095</v>
      </c>
      <c r="J137" s="7">
        <f t="shared" si="19"/>
        <v>-0.52362915039141278</v>
      </c>
    </row>
    <row r="138" spans="2:10" ht="14.5" x14ac:dyDescent="0.35">
      <c r="B138" s="260" t="s">
        <v>54</v>
      </c>
      <c r="C138" s="156">
        <v>0.77121728942217305</v>
      </c>
      <c r="D138" s="156">
        <v>0.74533909518450003</v>
      </c>
      <c r="E138" s="154"/>
      <c r="F138" s="5">
        <f t="shared" si="14"/>
        <v>1.2653816195756906</v>
      </c>
      <c r="G138" s="7">
        <f t="shared" si="15"/>
        <v>0.68975900381982891</v>
      </c>
      <c r="H138" s="24">
        <f t="shared" si="16"/>
        <v>11.418723099289988</v>
      </c>
      <c r="I138" s="25">
        <f t="shared" si="17"/>
        <v>11.53639207877371</v>
      </c>
      <c r="J138" s="7">
        <f t="shared" si="19"/>
        <v>-1.0252092274071372</v>
      </c>
    </row>
    <row r="139" spans="2:10" ht="14.5" x14ac:dyDescent="0.35">
      <c r="B139" s="260" t="s">
        <v>55</v>
      </c>
      <c r="C139" s="156">
        <v>0.89748662884483299</v>
      </c>
      <c r="D139" s="156">
        <v>0.92753253905733302</v>
      </c>
      <c r="E139" s="154"/>
      <c r="F139" s="5">
        <f t="shared" si="14"/>
        <v>0.41085238368709737</v>
      </c>
      <c r="G139" s="7">
        <f t="shared" si="15"/>
        <v>0.98658267121533161</v>
      </c>
      <c r="H139" s="24">
        <f t="shared" si="16"/>
        <v>7.6914664129697998</v>
      </c>
      <c r="I139" s="25">
        <f t="shared" si="17"/>
        <v>7.7610032062141316</v>
      </c>
      <c r="J139" s="7">
        <f t="shared" si="19"/>
        <v>-0.90000880063861488</v>
      </c>
    </row>
    <row r="140" spans="2:10" ht="14.5" x14ac:dyDescent="0.35">
      <c r="B140" s="260" t="s">
        <v>56</v>
      </c>
      <c r="C140" s="156">
        <v>1.6338290588644799</v>
      </c>
      <c r="D140" s="156">
        <v>0.92868912683440397</v>
      </c>
      <c r="E140" s="154"/>
      <c r="F140" s="5">
        <f t="shared" si="14"/>
        <v>14.139012511159954</v>
      </c>
      <c r="G140" s="7">
        <f t="shared" si="15"/>
        <v>13.607503481122265</v>
      </c>
      <c r="H140" s="24">
        <f t="shared" si="16"/>
        <v>8.4688828183871578</v>
      </c>
      <c r="I140" s="25">
        <f t="shared" si="17"/>
        <v>8.5459070604773437</v>
      </c>
      <c r="J140" s="7">
        <f t="shared" si="19"/>
        <v>-0.90537987995801417</v>
      </c>
    </row>
    <row r="141" spans="2:10" ht="14.5" x14ac:dyDescent="0.35">
      <c r="B141" s="263" t="s">
        <v>39</v>
      </c>
      <c r="C141" s="180">
        <v>1.4610958114036401</v>
      </c>
      <c r="D141" s="180">
        <v>1.0046948655347101</v>
      </c>
      <c r="E141" s="181"/>
      <c r="F141" s="128">
        <f t="shared" si="14"/>
        <v>9.6522929205210417</v>
      </c>
      <c r="G141" s="40">
        <f t="shared" si="15"/>
        <v>9.0966931068366197</v>
      </c>
      <c r="H141" s="269">
        <f t="shared" si="16"/>
        <v>41.462252716711461</v>
      </c>
      <c r="I141" s="267">
        <f t="shared" si="17"/>
        <v>41.674075263410302</v>
      </c>
      <c r="J141" s="40">
        <f t="shared" si="19"/>
        <v>-0.50957878906917387</v>
      </c>
    </row>
    <row r="144" spans="2:10" ht="14.5" x14ac:dyDescent="0.35">
      <c r="B144" s="164" t="s">
        <v>62</v>
      </c>
      <c r="C144" s="360" t="s">
        <v>70</v>
      </c>
      <c r="D144" s="361"/>
      <c r="E144" s="362"/>
      <c r="F144"/>
      <c r="G144"/>
      <c r="H144"/>
    </row>
    <row r="145" spans="2:10" ht="14.5" x14ac:dyDescent="0.35">
      <c r="B145" s="176" t="s">
        <v>61</v>
      </c>
      <c r="C145" s="14"/>
      <c r="D145" s="174">
        <v>19.5</v>
      </c>
      <c r="E145" s="126"/>
      <c r="F145"/>
      <c r="G145"/>
      <c r="H145"/>
    </row>
    <row r="146" spans="2:10" ht="14.5" x14ac:dyDescent="0.35">
      <c r="B146" s="173" t="s">
        <v>26</v>
      </c>
      <c r="C146" s="82"/>
      <c r="D146" s="189">
        <v>40</v>
      </c>
      <c r="E146" s="26"/>
      <c r="F146"/>
      <c r="G146"/>
      <c r="H146"/>
    </row>
    <row r="147" spans="2:10" ht="14.5" x14ac:dyDescent="0.3">
      <c r="B147" s="363" t="s">
        <v>0</v>
      </c>
      <c r="C147" s="258" t="s">
        <v>89</v>
      </c>
      <c r="D147" s="218"/>
      <c r="E147" s="219"/>
      <c r="F147" s="358" t="s">
        <v>83</v>
      </c>
      <c r="G147" s="359"/>
      <c r="H147" s="323" t="s">
        <v>58</v>
      </c>
      <c r="I147" s="325"/>
      <c r="J147" s="182" t="s">
        <v>64</v>
      </c>
    </row>
    <row r="148" spans="2:10" ht="14" x14ac:dyDescent="0.3">
      <c r="B148" s="364"/>
      <c r="C148" s="212" t="s">
        <v>21</v>
      </c>
      <c r="D148" s="212" t="s">
        <v>8</v>
      </c>
      <c r="E148" s="212" t="s">
        <v>22</v>
      </c>
      <c r="F148" s="182" t="s">
        <v>28</v>
      </c>
      <c r="G148" s="214" t="s">
        <v>27</v>
      </c>
      <c r="H148" s="182" t="s">
        <v>28</v>
      </c>
      <c r="I148" s="182" t="s">
        <v>27</v>
      </c>
      <c r="J148" s="271" t="s">
        <v>63</v>
      </c>
    </row>
    <row r="149" spans="2:10" x14ac:dyDescent="0.3">
      <c r="B149" s="259" t="s">
        <v>2</v>
      </c>
      <c r="C149" s="178">
        <v>57.131418359301101</v>
      </c>
      <c r="D149" s="178">
        <v>18.1906321671405</v>
      </c>
      <c r="E149" s="179"/>
      <c r="F149" s="101">
        <f t="shared" ref="F149:F174" si="20">ABS(((C149/C$166)-(D149/D$166))/((C149/C$166)+(D149/D$166))/2)*100</f>
        <v>25.692529170130047</v>
      </c>
      <c r="G149" s="54">
        <f t="shared" ref="G149:G174" si="21">ABS(((C149/C$153)-(D149/D$153))/((C149/C$153)+(D149/D$153))/2)*100</f>
        <v>25.967079683794726</v>
      </c>
      <c r="H149" s="268">
        <f t="shared" ref="H149:H174" si="22">D$145*I17*((C149/C$166+D149/D$166)/2)/D$146*100</f>
        <v>593.79904337467735</v>
      </c>
      <c r="I149" s="266">
        <f t="shared" ref="I149:I174" si="23">H17*789270*(C149/C$153+D149/D$153)/2</f>
        <v>601.52513990472869</v>
      </c>
      <c r="J149" s="203">
        <f>(H149-I149)/((H149+I149)/2)*100</f>
        <v>-1.2927198559397617</v>
      </c>
    </row>
    <row r="150" spans="2:10" x14ac:dyDescent="0.3">
      <c r="B150" s="260" t="s">
        <v>45</v>
      </c>
      <c r="C150" s="155">
        <v>9.9338077879725297</v>
      </c>
      <c r="D150" s="155">
        <v>5.5793973527067404</v>
      </c>
      <c r="E150" s="51"/>
      <c r="F150" s="5">
        <f t="shared" si="20"/>
        <v>13.837344031502866</v>
      </c>
      <c r="G150" s="7">
        <f t="shared" si="21"/>
        <v>14.182434977429653</v>
      </c>
      <c r="H150" s="24">
        <f t="shared" si="22"/>
        <v>70.423779526882484</v>
      </c>
      <c r="I150" s="25">
        <f t="shared" si="23"/>
        <v>71.399439630471306</v>
      </c>
      <c r="J150" s="102">
        <f t="shared" ref="J150:J174" si="24">(H150-I150)/((H150+I150)/2)*100</f>
        <v>-1.3758820444010951</v>
      </c>
    </row>
    <row r="151" spans="2:10" x14ac:dyDescent="0.3">
      <c r="B151" s="261" t="s">
        <v>4</v>
      </c>
      <c r="C151" s="155">
        <v>7.9039093726757601</v>
      </c>
      <c r="D151" s="155">
        <v>5.8639482362594499</v>
      </c>
      <c r="E151" s="51"/>
      <c r="F151" s="5">
        <f t="shared" si="20"/>
        <v>7.1991879077434442</v>
      </c>
      <c r="G151" s="7">
        <f t="shared" si="21"/>
        <v>7.5655170548605764</v>
      </c>
      <c r="H151" s="24">
        <f t="shared" si="22"/>
        <v>110.7438366817201</v>
      </c>
      <c r="I151" s="25">
        <f t="shared" si="23"/>
        <v>111.61770347882307</v>
      </c>
      <c r="J151" s="102">
        <f t="shared" si="24"/>
        <v>-0.78598735777063999</v>
      </c>
    </row>
    <row r="152" spans="2:10" x14ac:dyDescent="0.3">
      <c r="B152" s="261" t="s">
        <v>5</v>
      </c>
      <c r="C152" s="155">
        <v>28.183497965718299</v>
      </c>
      <c r="D152" s="155">
        <v>29.604861369673898</v>
      </c>
      <c r="E152" s="51"/>
      <c r="F152" s="5">
        <f t="shared" si="20"/>
        <v>1.4434410079627065</v>
      </c>
      <c r="G152" s="7">
        <f t="shared" si="21"/>
        <v>1.0691843618675541</v>
      </c>
      <c r="H152" s="24">
        <f t="shared" si="22"/>
        <v>483.53119677877396</v>
      </c>
      <c r="I152" s="25">
        <f t="shared" si="23"/>
        <v>486.59854088783266</v>
      </c>
      <c r="J152" s="102">
        <f t="shared" si="24"/>
        <v>-0.63235750641690236</v>
      </c>
    </row>
    <row r="153" spans="2:10" x14ac:dyDescent="0.3">
      <c r="B153" s="262" t="s">
        <v>6</v>
      </c>
      <c r="C153" s="158">
        <v>68525.014940716894</v>
      </c>
      <c r="D153" s="158">
        <v>68966.916630531807</v>
      </c>
      <c r="E153" s="51"/>
      <c r="F153" s="5">
        <f t="shared" si="20"/>
        <v>0.3744878256016696</v>
      </c>
      <c r="G153" s="7">
        <f t="shared" si="21"/>
        <v>0</v>
      </c>
      <c r="H153" s="24">
        <f t="shared" si="22"/>
        <v>0</v>
      </c>
      <c r="I153" s="25">
        <f t="shared" si="23"/>
        <v>789270</v>
      </c>
      <c r="J153" s="102"/>
    </row>
    <row r="154" spans="2:10" x14ac:dyDescent="0.3">
      <c r="B154" s="260" t="s">
        <v>46</v>
      </c>
      <c r="C154" s="155">
        <v>7.7324753781910505E-2</v>
      </c>
      <c r="D154" s="155">
        <v>4.7873513032241501E-2</v>
      </c>
      <c r="E154" s="52"/>
      <c r="F154" s="5">
        <f t="shared" si="20"/>
        <v>11.559675546939694</v>
      </c>
      <c r="G154" s="7">
        <f t="shared" si="21"/>
        <v>11.913534098186899</v>
      </c>
      <c r="H154" s="24">
        <f t="shared" si="22"/>
        <v>0.50768830258747055</v>
      </c>
      <c r="I154" s="25">
        <f t="shared" si="23"/>
        <v>0.51166121896965644</v>
      </c>
      <c r="J154" s="102">
        <f t="shared" si="24"/>
        <v>-0.77950031822587851</v>
      </c>
    </row>
    <row r="155" spans="2:10" x14ac:dyDescent="0.3">
      <c r="B155" s="260" t="s">
        <v>14</v>
      </c>
      <c r="C155" s="155">
        <v>3.1861156027584998E-2</v>
      </c>
      <c r="D155" s="155">
        <v>4.00355656813959E-2</v>
      </c>
      <c r="E155" s="51"/>
      <c r="F155" s="5">
        <f t="shared" si="20"/>
        <v>5.8957536133206467</v>
      </c>
      <c r="G155" s="7">
        <f t="shared" si="21"/>
        <v>5.5261462323916222</v>
      </c>
      <c r="H155" s="24">
        <f t="shared" si="22"/>
        <v>0.2087476409098904</v>
      </c>
      <c r="I155" s="25">
        <f t="shared" si="23"/>
        <v>0.21065112806486597</v>
      </c>
      <c r="J155" s="102">
        <f t="shared" si="24"/>
        <v>-0.90772186080982054</v>
      </c>
    </row>
    <row r="156" spans="2:10" x14ac:dyDescent="0.3">
      <c r="B156" s="260" t="s">
        <v>47</v>
      </c>
      <c r="C156" s="155">
        <v>0.23138418642670799</v>
      </c>
      <c r="D156" s="155">
        <v>0.18545054406504699</v>
      </c>
      <c r="E156" s="51"/>
      <c r="F156" s="5">
        <f t="shared" si="20"/>
        <v>5.2985192291149303</v>
      </c>
      <c r="G156" s="7">
        <f t="shared" si="21"/>
        <v>5.668508003119844</v>
      </c>
      <c r="H156" s="24">
        <f t="shared" si="22"/>
        <v>1.6380915944522987</v>
      </c>
      <c r="I156" s="25">
        <f t="shared" si="23"/>
        <v>1.6502370820829049</v>
      </c>
      <c r="J156" s="102">
        <f t="shared" si="24"/>
        <v>-0.73870277732720213</v>
      </c>
    </row>
    <row r="157" spans="2:10" x14ac:dyDescent="0.3">
      <c r="B157" s="261" t="s">
        <v>15</v>
      </c>
      <c r="C157" s="155">
        <v>32.150830120629301</v>
      </c>
      <c r="D157" s="155">
        <v>32.211231986510903</v>
      </c>
      <c r="E157" s="51"/>
      <c r="F157" s="5">
        <f t="shared" si="20"/>
        <v>0.26071447358203925</v>
      </c>
      <c r="G157" s="7">
        <f t="shared" si="21"/>
        <v>0.1137777954701748</v>
      </c>
      <c r="H157" s="24">
        <f t="shared" si="22"/>
        <v>298.23378427104251</v>
      </c>
      <c r="I157" s="25">
        <f t="shared" si="23"/>
        <v>300.16971927495683</v>
      </c>
      <c r="J157" s="102">
        <f t="shared" si="24"/>
        <v>-0.64703331195169322</v>
      </c>
    </row>
    <row r="158" spans="2:10" x14ac:dyDescent="0.3">
      <c r="B158" s="261" t="s">
        <v>1</v>
      </c>
      <c r="C158" s="155">
        <v>24.906042412976099</v>
      </c>
      <c r="D158" s="155">
        <v>25.5611934531392</v>
      </c>
      <c r="E158" s="51"/>
      <c r="F158" s="5">
        <f t="shared" si="20"/>
        <v>0.86282964439067777</v>
      </c>
      <c r="G158" s="7">
        <f t="shared" si="21"/>
        <v>0.48840494399440998</v>
      </c>
      <c r="H158" s="24">
        <f t="shared" si="22"/>
        <v>204.01627779337207</v>
      </c>
      <c r="I158" s="25">
        <f t="shared" si="23"/>
        <v>205.29136148005176</v>
      </c>
      <c r="J158" s="102">
        <f t="shared" si="24"/>
        <v>-0.62304416743510493</v>
      </c>
    </row>
    <row r="159" spans="2:10" x14ac:dyDescent="0.3">
      <c r="B159" s="260" t="s">
        <v>16</v>
      </c>
      <c r="C159" s="155">
        <v>0.47298979368788502</v>
      </c>
      <c r="D159" s="155">
        <v>0.53400882436525099</v>
      </c>
      <c r="E159" s="51"/>
      <c r="F159" s="5">
        <f t="shared" si="20"/>
        <v>3.2426993420102033</v>
      </c>
      <c r="G159" s="7">
        <f t="shared" si="21"/>
        <v>2.8696054001720572</v>
      </c>
      <c r="H159" s="24">
        <f t="shared" si="22"/>
        <v>3.8771853427093426</v>
      </c>
      <c r="I159" s="25">
        <f t="shared" si="23"/>
        <v>3.9022089949724301</v>
      </c>
      <c r="J159" s="102">
        <f t="shared" si="24"/>
        <v>-0.6433316316638733</v>
      </c>
    </row>
    <row r="160" spans="2:10" x14ac:dyDescent="0.3">
      <c r="B160" s="260" t="s">
        <v>48</v>
      </c>
      <c r="C160" s="155">
        <v>0.34673322034860798</v>
      </c>
      <c r="D160" s="155">
        <v>0.268562520788384</v>
      </c>
      <c r="E160" s="51"/>
      <c r="F160" s="5">
        <f t="shared" si="20"/>
        <v>6.1418311322639685</v>
      </c>
      <c r="G160" s="7">
        <f t="shared" si="21"/>
        <v>6.5103293481325819</v>
      </c>
      <c r="H160" s="24">
        <f t="shared" si="22"/>
        <v>2.6154490831146506</v>
      </c>
      <c r="I160" s="25">
        <f t="shared" si="23"/>
        <v>2.631478047940627</v>
      </c>
      <c r="J160" s="102">
        <f t="shared" si="24"/>
        <v>-0.61098484601033831</v>
      </c>
    </row>
    <row r="161" spans="2:10" x14ac:dyDescent="0.3">
      <c r="B161" s="261" t="s">
        <v>17</v>
      </c>
      <c r="C161" s="155">
        <v>36.669591939746098</v>
      </c>
      <c r="D161" s="155">
        <v>38.171828638189901</v>
      </c>
      <c r="E161" s="51"/>
      <c r="F161" s="5">
        <f t="shared" si="20"/>
        <v>1.2173007070697845</v>
      </c>
      <c r="G161" s="7">
        <f t="shared" si="21"/>
        <v>0.84296659281669606</v>
      </c>
      <c r="H161" s="24">
        <f t="shared" si="22"/>
        <v>279.93437157602062</v>
      </c>
      <c r="I161" s="25">
        <f t="shared" si="23"/>
        <v>281.64446633208945</v>
      </c>
      <c r="J161" s="102">
        <f t="shared" si="24"/>
        <v>-0.60903105339188235</v>
      </c>
    </row>
    <row r="162" spans="2:10" ht="14.5" x14ac:dyDescent="0.35">
      <c r="B162" s="261" t="s">
        <v>18</v>
      </c>
      <c r="C162" s="156">
        <v>198.67217422632299</v>
      </c>
      <c r="D162" s="156">
        <v>207.73742271326799</v>
      </c>
      <c r="E162" s="154"/>
      <c r="F162" s="5">
        <f t="shared" si="20"/>
        <v>1.328950015860741</v>
      </c>
      <c r="G162" s="7">
        <f t="shared" si="21"/>
        <v>0.95465223310891456</v>
      </c>
      <c r="H162" s="24">
        <f t="shared" si="22"/>
        <v>1553.0182119589545</v>
      </c>
      <c r="I162" s="25">
        <f t="shared" si="23"/>
        <v>1562.4204111408023</v>
      </c>
      <c r="J162" s="102">
        <f t="shared" si="24"/>
        <v>-0.60358750848976883</v>
      </c>
    </row>
    <row r="163" spans="2:10" ht="14.5" x14ac:dyDescent="0.35">
      <c r="B163" s="261" t="s">
        <v>40</v>
      </c>
      <c r="C163" s="156">
        <v>1.92359576159711</v>
      </c>
      <c r="D163" s="156">
        <v>2.0444414200691599</v>
      </c>
      <c r="E163" s="154"/>
      <c r="F163" s="5">
        <f t="shared" si="20"/>
        <v>1.7363044018219336</v>
      </c>
      <c r="G163" s="7">
        <f t="shared" si="21"/>
        <v>1.3621708631638008</v>
      </c>
      <c r="H163" s="24">
        <f t="shared" si="22"/>
        <v>14.918858951309652</v>
      </c>
      <c r="I163" s="25">
        <f t="shared" si="23"/>
        <v>14.998766328379741</v>
      </c>
      <c r="J163" s="102">
        <f t="shared" si="24"/>
        <v>-0.53418261859397775</v>
      </c>
    </row>
    <row r="164" spans="2:10" ht="14.5" x14ac:dyDescent="0.35">
      <c r="B164" s="261" t="s">
        <v>41</v>
      </c>
      <c r="C164" s="156">
        <v>6.3279647263333398</v>
      </c>
      <c r="D164" s="156">
        <v>6.76393572665586</v>
      </c>
      <c r="E164" s="154"/>
      <c r="F164" s="5">
        <f t="shared" si="20"/>
        <v>1.8785654547630581</v>
      </c>
      <c r="G164" s="7">
        <f t="shared" si="21"/>
        <v>1.5045009956768263</v>
      </c>
      <c r="H164" s="24">
        <f t="shared" si="22"/>
        <v>102.18432044461139</v>
      </c>
      <c r="I164" s="25">
        <f t="shared" si="23"/>
        <v>102.82826719982643</v>
      </c>
      <c r="J164" s="102">
        <f t="shared" si="24"/>
        <v>-0.62820216320752464</v>
      </c>
    </row>
    <row r="165" spans="2:10" ht="14.5" x14ac:dyDescent="0.35">
      <c r="B165" s="260" t="s">
        <v>50</v>
      </c>
      <c r="C165" s="156">
        <v>1.19703898110247</v>
      </c>
      <c r="D165" s="156">
        <v>1.1491356637669199</v>
      </c>
      <c r="E165" s="154"/>
      <c r="F165" s="5">
        <f t="shared" si="20"/>
        <v>0.80715976774859088</v>
      </c>
      <c r="G165" s="7">
        <f t="shared" si="21"/>
        <v>1.1815047392633489</v>
      </c>
      <c r="H165" s="24">
        <f t="shared" si="22"/>
        <v>9.5808656631473159</v>
      </c>
      <c r="I165" s="25">
        <f t="shared" si="23"/>
        <v>9.6392852323754141</v>
      </c>
      <c r="J165" s="102">
        <f t="shared" si="24"/>
        <v>-0.60789917358772516</v>
      </c>
    </row>
    <row r="166" spans="2:10" ht="14.5" x14ac:dyDescent="0.35">
      <c r="B166" s="261" t="s">
        <v>38</v>
      </c>
      <c r="C166" s="157">
        <v>6.6219505141820898</v>
      </c>
      <c r="D166" s="157">
        <v>6.5655628122859202</v>
      </c>
      <c r="E166" s="154"/>
      <c r="F166" s="5">
        <f t="shared" si="20"/>
        <v>0</v>
      </c>
      <c r="G166" s="7">
        <f t="shared" si="21"/>
        <v>0.37448782560166682</v>
      </c>
      <c r="H166" s="24">
        <f t="shared" si="22"/>
        <v>48.75</v>
      </c>
      <c r="I166" s="25">
        <f t="shared" si="23"/>
        <v>49.055548504931409</v>
      </c>
      <c r="J166" s="102">
        <f t="shared" si="24"/>
        <v>-0.62480812101575756</v>
      </c>
    </row>
    <row r="167" spans="2:10" ht="14.5" x14ac:dyDescent="0.35">
      <c r="B167" s="260" t="s">
        <v>51</v>
      </c>
      <c r="C167" s="156">
        <v>4.4139792454178498E-2</v>
      </c>
      <c r="D167" s="156">
        <v>3.58539287996456E-2</v>
      </c>
      <c r="E167" s="154"/>
      <c r="F167" s="5">
        <f t="shared" si="20"/>
        <v>4.9674793262429109</v>
      </c>
      <c r="G167" s="7">
        <f t="shared" si="21"/>
        <v>5.3379951271833814</v>
      </c>
      <c r="H167" s="24">
        <f t="shared" si="22"/>
        <v>0.34667223030411637</v>
      </c>
      <c r="I167" s="25">
        <f t="shared" si="23"/>
        <v>0.34859435569549757</v>
      </c>
      <c r="J167" s="102">
        <f t="shared" si="24"/>
        <v>-0.55291752259823668</v>
      </c>
    </row>
    <row r="168" spans="2:10" ht="14.5" x14ac:dyDescent="0.35">
      <c r="B168" s="261" t="s">
        <v>42</v>
      </c>
      <c r="C168" s="156">
        <v>5.5142857273272003</v>
      </c>
      <c r="D168" s="156">
        <v>2.9308119150095999</v>
      </c>
      <c r="E168" s="154"/>
      <c r="F168" s="5">
        <f t="shared" si="20"/>
        <v>15.101662809541777</v>
      </c>
      <c r="G168" s="7">
        <f t="shared" si="21"/>
        <v>15.441220193224625</v>
      </c>
      <c r="H168" s="24">
        <f t="shared" si="22"/>
        <v>33.999620956858564</v>
      </c>
      <c r="I168" s="25">
        <f t="shared" si="23"/>
        <v>34.287902465376604</v>
      </c>
      <c r="J168" s="102">
        <f t="shared" si="24"/>
        <v>-0.84431677726995169</v>
      </c>
    </row>
    <row r="169" spans="2:10" ht="14.5" x14ac:dyDescent="0.35">
      <c r="B169" s="260" t="s">
        <v>52</v>
      </c>
      <c r="C169" s="156">
        <v>0.27806588351310402</v>
      </c>
      <c r="D169" s="156">
        <v>0.30514835037406102</v>
      </c>
      <c r="E169" s="154"/>
      <c r="F169" s="5">
        <f t="shared" si="20"/>
        <v>2.5351170087671759</v>
      </c>
      <c r="G169" s="7">
        <f t="shared" si="21"/>
        <v>2.1614499898707313</v>
      </c>
      <c r="H169" s="24">
        <f t="shared" si="22"/>
        <v>2.3681110474649976</v>
      </c>
      <c r="I169" s="25">
        <f t="shared" si="23"/>
        <v>2.3816074860350387</v>
      </c>
      <c r="J169" s="102">
        <f t="shared" si="24"/>
        <v>-0.56830477321340078</v>
      </c>
    </row>
    <row r="170" spans="2:10" ht="14.5" x14ac:dyDescent="0.35">
      <c r="B170" s="260" t="s">
        <v>53</v>
      </c>
      <c r="C170" s="156">
        <v>0.75374908090469595</v>
      </c>
      <c r="D170" s="156">
        <v>0.76040771034369303</v>
      </c>
      <c r="E170" s="154"/>
      <c r="F170" s="5">
        <f t="shared" si="20"/>
        <v>0.43366299035251826</v>
      </c>
      <c r="G170" s="7">
        <f t="shared" si="21"/>
        <v>5.9179009055030374E-2</v>
      </c>
      <c r="H170" s="24">
        <f t="shared" si="22"/>
        <v>7.060951186226994</v>
      </c>
      <c r="I170" s="25">
        <f t="shared" si="23"/>
        <v>7.0807070435667336</v>
      </c>
      <c r="J170" s="102">
        <f t="shared" si="24"/>
        <v>-0.27939944550657941</v>
      </c>
    </row>
    <row r="171" spans="2:10" ht="14.5" x14ac:dyDescent="0.35">
      <c r="B171" s="260" t="s">
        <v>54</v>
      </c>
      <c r="C171" s="156">
        <v>0.26219920668512697</v>
      </c>
      <c r="D171" s="156">
        <v>0.23204217792999299</v>
      </c>
      <c r="E171" s="154"/>
      <c r="F171" s="5">
        <f t="shared" si="20"/>
        <v>2.8377884600463283</v>
      </c>
      <c r="G171" s="7">
        <f t="shared" si="21"/>
        <v>3.2109113693136302</v>
      </c>
      <c r="H171" s="24">
        <f t="shared" si="22"/>
        <v>3.7000054495818682</v>
      </c>
      <c r="I171" s="25">
        <f t="shared" si="23"/>
        <v>3.7279962652904914</v>
      </c>
      <c r="J171" s="102">
        <f t="shared" si="24"/>
        <v>-0.75365668407372621</v>
      </c>
    </row>
    <row r="172" spans="2:10" ht="14.5" x14ac:dyDescent="0.35">
      <c r="B172" s="260" t="s">
        <v>55</v>
      </c>
      <c r="C172" s="156">
        <v>1.01999242525768</v>
      </c>
      <c r="D172" s="156">
        <v>1.0899235204417701</v>
      </c>
      <c r="E172" s="154"/>
      <c r="F172" s="5">
        <f t="shared" si="20"/>
        <v>1.8707278753101062</v>
      </c>
      <c r="G172" s="7">
        <f t="shared" si="21"/>
        <v>1.4966594524890142</v>
      </c>
      <c r="H172" s="24">
        <f t="shared" si="22"/>
        <v>8.8472051986008964</v>
      </c>
      <c r="I172" s="25">
        <f t="shared" si="23"/>
        <v>8.8932698650315256</v>
      </c>
      <c r="J172" s="102">
        <f t="shared" si="24"/>
        <v>-0.5193171689642152</v>
      </c>
    </row>
    <row r="173" spans="2:10" ht="14.5" x14ac:dyDescent="0.35">
      <c r="B173" s="260" t="s">
        <v>56</v>
      </c>
      <c r="C173" s="156">
        <v>0.25812734374673202</v>
      </c>
      <c r="D173" s="156">
        <v>0.32398339622906203</v>
      </c>
      <c r="E173" s="154"/>
      <c r="F173" s="5">
        <f t="shared" si="20"/>
        <v>5.8676137692497594</v>
      </c>
      <c r="G173" s="7">
        <f t="shared" si="21"/>
        <v>5.4979583189612393</v>
      </c>
      <c r="H173" s="24">
        <f t="shared" si="22"/>
        <v>1.910156814074683</v>
      </c>
      <c r="I173" s="25">
        <f t="shared" si="23"/>
        <v>1.9255078414486981</v>
      </c>
      <c r="J173" s="102">
        <f t="shared" si="24"/>
        <v>-0.80043636515040972</v>
      </c>
    </row>
    <row r="174" spans="2:10" ht="14.5" x14ac:dyDescent="0.35">
      <c r="B174" s="263" t="s">
        <v>39</v>
      </c>
      <c r="C174" s="180">
        <v>0.78737821086556103</v>
      </c>
      <c r="D174" s="180">
        <v>0.56101060766904698</v>
      </c>
      <c r="E174" s="181"/>
      <c r="F174" s="128">
        <f t="shared" si="20"/>
        <v>8.1860874629169889</v>
      </c>
      <c r="G174" s="40">
        <f t="shared" si="21"/>
        <v>8.5500908589820241</v>
      </c>
      <c r="H174" s="269">
        <f t="shared" si="22"/>
        <v>22.501746128617135</v>
      </c>
      <c r="I174" s="267">
        <f t="shared" si="23"/>
        <v>22.617134998927718</v>
      </c>
      <c r="J174" s="204">
        <f t="shared" si="24"/>
        <v>-0.51148817269822655</v>
      </c>
    </row>
    <row r="177" spans="2:10" ht="14.5" x14ac:dyDescent="0.35">
      <c r="B177" s="164" t="s">
        <v>62</v>
      </c>
      <c r="C177" s="360" t="s">
        <v>69</v>
      </c>
      <c r="D177" s="361"/>
      <c r="E177" s="362"/>
      <c r="F177"/>
      <c r="G177"/>
      <c r="H177"/>
    </row>
    <row r="178" spans="2:10" ht="14.5" x14ac:dyDescent="0.35">
      <c r="B178" s="176" t="s">
        <v>61</v>
      </c>
      <c r="C178" s="14"/>
      <c r="D178" s="174">
        <v>19.5</v>
      </c>
      <c r="E178" s="126"/>
      <c r="F178"/>
      <c r="G178"/>
      <c r="H178"/>
    </row>
    <row r="179" spans="2:10" ht="14.5" x14ac:dyDescent="0.35">
      <c r="B179" s="173" t="s">
        <v>26</v>
      </c>
      <c r="C179" s="82"/>
      <c r="D179" s="189">
        <v>40</v>
      </c>
      <c r="E179" s="26"/>
      <c r="F179"/>
      <c r="G179"/>
      <c r="H179"/>
    </row>
    <row r="180" spans="2:10" ht="14.5" x14ac:dyDescent="0.3">
      <c r="B180" s="363" t="s">
        <v>0</v>
      </c>
      <c r="C180" s="258" t="s">
        <v>89</v>
      </c>
      <c r="D180" s="218"/>
      <c r="E180" s="219"/>
      <c r="F180" s="358" t="s">
        <v>83</v>
      </c>
      <c r="G180" s="359"/>
      <c r="H180" s="323" t="s">
        <v>58</v>
      </c>
      <c r="I180" s="325"/>
      <c r="J180" s="182" t="s">
        <v>64</v>
      </c>
    </row>
    <row r="181" spans="2:10" ht="14" x14ac:dyDescent="0.3">
      <c r="B181" s="364"/>
      <c r="C181" s="212" t="s">
        <v>21</v>
      </c>
      <c r="D181" s="212" t="s">
        <v>8</v>
      </c>
      <c r="E181" s="212" t="s">
        <v>22</v>
      </c>
      <c r="F181" s="182" t="s">
        <v>28</v>
      </c>
      <c r="G181" s="214" t="s">
        <v>27</v>
      </c>
      <c r="H181" s="182" t="s">
        <v>28</v>
      </c>
      <c r="I181" s="182" t="s">
        <v>27</v>
      </c>
      <c r="J181" s="271" t="s">
        <v>63</v>
      </c>
    </row>
    <row r="182" spans="2:10" x14ac:dyDescent="0.3">
      <c r="B182" s="259" t="s">
        <v>2</v>
      </c>
      <c r="C182" s="178">
        <v>18.1906321671405</v>
      </c>
      <c r="D182" s="178">
        <v>25.302632786937</v>
      </c>
      <c r="E182" s="179"/>
      <c r="F182" s="101">
        <f t="shared" ref="F182:F207" si="25">ABS(((C182/C$199)-(D182/D$199))/((C182/C$199)+(D182/D$199))/2)*100</f>
        <v>7.2929754346397466</v>
      </c>
      <c r="G182" s="54">
        <f t="shared" ref="G182:G207" si="26">ABS(((C182/C$186)-(D182/D$186))/((C182/C$186)+(D182/D$186))/2)*100</f>
        <v>7.7701421999511231</v>
      </c>
      <c r="H182" s="268">
        <f t="shared" ref="H182:H207" si="27">D$178*I17*((C182/C$199+D182/D$199)/2)/D$179*100</f>
        <v>337.97140101729065</v>
      </c>
      <c r="I182" s="266">
        <f t="shared" ref="I182:I207" si="28">H17*789270*(C182/C$186+D182/D$186)/2</f>
        <v>342.32665011502468</v>
      </c>
      <c r="J182" s="203">
        <f>(H182-I182)/((H182+I182)/2)*100</f>
        <v>-1.2803944066824768</v>
      </c>
    </row>
    <row r="183" spans="2:10" x14ac:dyDescent="0.3">
      <c r="B183" s="260" t="s">
        <v>45</v>
      </c>
      <c r="C183" s="155">
        <v>5.5793973527067404</v>
      </c>
      <c r="D183" s="155">
        <v>8.9336935022279196</v>
      </c>
      <c r="E183" s="51"/>
      <c r="F183" s="5">
        <f t="shared" si="25"/>
        <v>10.696251500470021</v>
      </c>
      <c r="G183" s="7">
        <f t="shared" si="26"/>
        <v>11.161170394234478</v>
      </c>
      <c r="H183" s="24">
        <f t="shared" si="27"/>
        <v>64.795624037295028</v>
      </c>
      <c r="I183" s="25">
        <f t="shared" si="28"/>
        <v>65.845291876659942</v>
      </c>
      <c r="J183" s="102">
        <f t="shared" ref="J183:J207" si="29">(H183-I183)/((H183+I183)/2)*100</f>
        <v>-1.6069511332211808</v>
      </c>
    </row>
    <row r="184" spans="2:10" x14ac:dyDescent="0.3">
      <c r="B184" s="261" t="s">
        <v>4</v>
      </c>
      <c r="C184" s="155">
        <v>5.8639482362594499</v>
      </c>
      <c r="D184" s="155">
        <v>5.5701261359284002</v>
      </c>
      <c r="E184" s="51"/>
      <c r="F184" s="5">
        <f t="shared" si="25"/>
        <v>2.1884144312950076</v>
      </c>
      <c r="G184" s="7">
        <f t="shared" si="26"/>
        <v>1.70090782371905</v>
      </c>
      <c r="H184" s="24">
        <f t="shared" si="27"/>
        <v>90.823340694319583</v>
      </c>
      <c r="I184" s="25">
        <f t="shared" si="28"/>
        <v>91.61230883599282</v>
      </c>
      <c r="J184" s="102">
        <f t="shared" si="29"/>
        <v>-0.86492759907887096</v>
      </c>
    </row>
    <row r="185" spans="2:10" x14ac:dyDescent="0.3">
      <c r="B185" s="261" t="s">
        <v>5</v>
      </c>
      <c r="C185" s="155">
        <v>29.604861369673898</v>
      </c>
      <c r="D185" s="155">
        <v>29.274503200860199</v>
      </c>
      <c r="E185" s="51"/>
      <c r="F185" s="5">
        <f t="shared" si="25"/>
        <v>1.1849966745876466</v>
      </c>
      <c r="G185" s="7">
        <f t="shared" si="26"/>
        <v>0.69692441170991581</v>
      </c>
      <c r="H185" s="24">
        <f t="shared" si="27"/>
        <v>485.97265239929516</v>
      </c>
      <c r="I185" s="25">
        <f t="shared" si="28"/>
        <v>490.17156135563533</v>
      </c>
      <c r="J185" s="102">
        <f t="shared" si="29"/>
        <v>-0.86030504451555334</v>
      </c>
    </row>
    <row r="186" spans="2:10" x14ac:dyDescent="0.3">
      <c r="B186" s="262" t="s">
        <v>6</v>
      </c>
      <c r="C186" s="158">
        <v>68966.916630531807</v>
      </c>
      <c r="D186" s="158">
        <v>70125.329210041498</v>
      </c>
      <c r="E186" s="51"/>
      <c r="F186" s="5">
        <f t="shared" si="25"/>
        <v>0.48823354655492501</v>
      </c>
      <c r="G186" s="7">
        <f t="shared" si="26"/>
        <v>0</v>
      </c>
      <c r="H186" s="24">
        <f t="shared" si="27"/>
        <v>0</v>
      </c>
      <c r="I186" s="25">
        <f t="shared" si="28"/>
        <v>789270</v>
      </c>
      <c r="J186" s="102"/>
    </row>
    <row r="187" spans="2:10" x14ac:dyDescent="0.3">
      <c r="B187" s="260" t="s">
        <v>46</v>
      </c>
      <c r="C187" s="155">
        <v>4.7873513032241501E-2</v>
      </c>
      <c r="D187" s="155">
        <v>4.8030791699428102E-2</v>
      </c>
      <c r="E187" s="52"/>
      <c r="F187" s="5">
        <f t="shared" si="25"/>
        <v>0.82260549963351015</v>
      </c>
      <c r="G187" s="7">
        <f t="shared" si="26"/>
        <v>0.33442567837660597</v>
      </c>
      <c r="H187" s="24">
        <f t="shared" si="27"/>
        <v>0.38399650865256318</v>
      </c>
      <c r="I187" s="25">
        <f t="shared" si="28"/>
        <v>0.38715784091959182</v>
      </c>
      <c r="J187" s="102">
        <f t="shared" si="29"/>
        <v>-0.81989611257009198</v>
      </c>
    </row>
    <row r="188" spans="2:10" x14ac:dyDescent="0.3">
      <c r="B188" s="260" t="s">
        <v>14</v>
      </c>
      <c r="C188" s="155">
        <v>4.00355656813959E-2</v>
      </c>
      <c r="D188" s="155">
        <v>3.6658244682267797E-2</v>
      </c>
      <c r="E188" s="51"/>
      <c r="F188" s="5">
        <f t="shared" si="25"/>
        <v>3.1039270418446621</v>
      </c>
      <c r="G188" s="7">
        <f t="shared" si="26"/>
        <v>2.6172800289978397</v>
      </c>
      <c r="H188" s="24">
        <f t="shared" si="27"/>
        <v>0.21972210632307801</v>
      </c>
      <c r="I188" s="25">
        <f t="shared" si="28"/>
        <v>0.22229665491074185</v>
      </c>
      <c r="J188" s="102">
        <f t="shared" si="29"/>
        <v>-1.1649046662532745</v>
      </c>
    </row>
    <row r="189" spans="2:10" x14ac:dyDescent="0.3">
      <c r="B189" s="260" t="s">
        <v>47</v>
      </c>
      <c r="C189" s="155">
        <v>0.18545054406504699</v>
      </c>
      <c r="D189" s="155">
        <v>0.192413838821692</v>
      </c>
      <c r="E189" s="51"/>
      <c r="F189" s="5">
        <f t="shared" si="25"/>
        <v>1.6828118143368678E-2</v>
      </c>
      <c r="G189" s="7">
        <f t="shared" si="26"/>
        <v>0.5050600048586249</v>
      </c>
      <c r="H189" s="24">
        <f t="shared" si="27"/>
        <v>1.4649954605409474</v>
      </c>
      <c r="I189" s="25">
        <f t="shared" si="28"/>
        <v>1.4780798199673459</v>
      </c>
      <c r="J189" s="102">
        <f t="shared" si="29"/>
        <v>-0.88916240186277129</v>
      </c>
    </row>
    <row r="190" spans="2:10" x14ac:dyDescent="0.3">
      <c r="B190" s="261" t="s">
        <v>15</v>
      </c>
      <c r="C190" s="155">
        <v>32.211231986510903</v>
      </c>
      <c r="D190" s="155">
        <v>33.714792562508997</v>
      </c>
      <c r="E190" s="51"/>
      <c r="F190" s="5">
        <f t="shared" si="25"/>
        <v>0.23585769440195065</v>
      </c>
      <c r="G190" s="7">
        <f t="shared" si="26"/>
        <v>0.72405788979664465</v>
      </c>
      <c r="H190" s="24">
        <f t="shared" si="27"/>
        <v>301.20971412656189</v>
      </c>
      <c r="I190" s="25">
        <f t="shared" si="28"/>
        <v>303.88730633160566</v>
      </c>
      <c r="J190" s="102">
        <f t="shared" si="29"/>
        <v>-0.88501252345164272</v>
      </c>
    </row>
    <row r="191" spans="2:10" x14ac:dyDescent="0.3">
      <c r="B191" s="261" t="s">
        <v>1</v>
      </c>
      <c r="C191" s="155">
        <v>25.5611934531392</v>
      </c>
      <c r="D191" s="155">
        <v>26.898998089896399</v>
      </c>
      <c r="E191" s="51"/>
      <c r="F191" s="5">
        <f t="shared" si="25"/>
        <v>0.37065868471058439</v>
      </c>
      <c r="G191" s="7">
        <f t="shared" si="26"/>
        <v>0.85883006296053488</v>
      </c>
      <c r="H191" s="24">
        <f t="shared" si="27"/>
        <v>209.08690115720213</v>
      </c>
      <c r="I191" s="25">
        <f t="shared" si="28"/>
        <v>210.91954878543584</v>
      </c>
      <c r="J191" s="102">
        <f t="shared" si="29"/>
        <v>-0.87267594508798307</v>
      </c>
    </row>
    <row r="192" spans="2:10" x14ac:dyDescent="0.3">
      <c r="B192" s="260" t="s">
        <v>16</v>
      </c>
      <c r="C192" s="155">
        <v>0.53400882436525099</v>
      </c>
      <c r="D192" s="155">
        <v>0.51379269937962102</v>
      </c>
      <c r="E192" s="51"/>
      <c r="F192" s="5">
        <f t="shared" si="25"/>
        <v>1.8686190292648932</v>
      </c>
      <c r="G192" s="7">
        <f t="shared" si="26"/>
        <v>1.3808894092989055</v>
      </c>
      <c r="H192" s="24">
        <f t="shared" si="27"/>
        <v>3.9798980068979861</v>
      </c>
      <c r="I192" s="25">
        <f t="shared" si="28"/>
        <v>4.0152720617533086</v>
      </c>
      <c r="J192" s="102">
        <f t="shared" si="29"/>
        <v>-0.88488561347863304</v>
      </c>
    </row>
    <row r="193" spans="2:10" x14ac:dyDescent="0.3">
      <c r="B193" s="260" t="s">
        <v>48</v>
      </c>
      <c r="C193" s="155">
        <v>0.268562520788384</v>
      </c>
      <c r="D193" s="155">
        <v>0.30534903613514303</v>
      </c>
      <c r="E193" s="51"/>
      <c r="F193" s="5">
        <f t="shared" si="25"/>
        <v>2.3029859201970297</v>
      </c>
      <c r="G193" s="7">
        <f t="shared" si="26"/>
        <v>2.7899646578457999</v>
      </c>
      <c r="H193" s="24">
        <f t="shared" si="27"/>
        <v>2.4049473487016559</v>
      </c>
      <c r="I193" s="25">
        <f t="shared" si="28"/>
        <v>2.4241056547223261</v>
      </c>
      <c r="J193" s="102">
        <f t="shared" si="29"/>
        <v>-0.79346016732830138</v>
      </c>
    </row>
    <row r="194" spans="2:10" x14ac:dyDescent="0.3">
      <c r="B194" s="261" t="s">
        <v>17</v>
      </c>
      <c r="C194" s="155">
        <v>38.171828638189901</v>
      </c>
      <c r="D194" s="155">
        <v>40.466552439009902</v>
      </c>
      <c r="E194" s="51"/>
      <c r="F194" s="5">
        <f t="shared" si="25"/>
        <v>0.55474956772838979</v>
      </c>
      <c r="G194" s="7">
        <f t="shared" si="26"/>
        <v>1.042870130839241</v>
      </c>
      <c r="H194" s="24">
        <f t="shared" si="27"/>
        <v>289.96683729800583</v>
      </c>
      <c r="I194" s="25">
        <f t="shared" si="28"/>
        <v>292.49345766477188</v>
      </c>
      <c r="J194" s="102">
        <f t="shared" si="29"/>
        <v>-0.86756827499375488</v>
      </c>
    </row>
    <row r="195" spans="2:10" ht="14.5" x14ac:dyDescent="0.35">
      <c r="B195" s="261" t="s">
        <v>18</v>
      </c>
      <c r="C195" s="156">
        <v>207.73742271326799</v>
      </c>
      <c r="D195" s="156">
        <v>219.33178347561699</v>
      </c>
      <c r="E195" s="154"/>
      <c r="F195" s="5">
        <f t="shared" si="25"/>
        <v>0.45307720953235597</v>
      </c>
      <c r="G195" s="7">
        <f t="shared" si="26"/>
        <v>0.94122747345943036</v>
      </c>
      <c r="H195" s="24">
        <f t="shared" si="27"/>
        <v>1608.8747733633006</v>
      </c>
      <c r="I195" s="25">
        <f t="shared" si="28"/>
        <v>1622.8002575588412</v>
      </c>
      <c r="J195" s="102">
        <f t="shared" si="29"/>
        <v>-0.86181216009005612</v>
      </c>
    </row>
    <row r="196" spans="2:10" ht="14.5" x14ac:dyDescent="0.35">
      <c r="B196" s="261" t="s">
        <v>40</v>
      </c>
      <c r="C196" s="156">
        <v>2.0444414200691599</v>
      </c>
      <c r="D196" s="156">
        <v>2.1093296087992601</v>
      </c>
      <c r="E196" s="154"/>
      <c r="F196" s="5">
        <f t="shared" si="25"/>
        <v>0.1235380601647284</v>
      </c>
      <c r="G196" s="7">
        <f t="shared" si="26"/>
        <v>0.3647042853078154</v>
      </c>
      <c r="H196" s="24">
        <f t="shared" si="27"/>
        <v>15.398885591562433</v>
      </c>
      <c r="I196" s="25">
        <f t="shared" si="28"/>
        <v>15.520592509875522</v>
      </c>
      <c r="J196" s="102">
        <f t="shared" si="29"/>
        <v>-0.78725079326244563</v>
      </c>
    </row>
    <row r="197" spans="2:10" ht="14.5" x14ac:dyDescent="0.35">
      <c r="B197" s="261" t="s">
        <v>41</v>
      </c>
      <c r="C197" s="156">
        <v>6.76393572665586</v>
      </c>
      <c r="D197" s="156">
        <v>7.0443128018224304</v>
      </c>
      <c r="E197" s="154"/>
      <c r="F197" s="5">
        <f t="shared" si="25"/>
        <v>0.11071399947970728</v>
      </c>
      <c r="G197" s="7">
        <f t="shared" si="26"/>
        <v>0.59893459604122401</v>
      </c>
      <c r="H197" s="24">
        <f t="shared" si="27"/>
        <v>106.25880588030401</v>
      </c>
      <c r="I197" s="25">
        <f t="shared" si="28"/>
        <v>107.20656623637872</v>
      </c>
      <c r="J197" s="102">
        <f t="shared" si="29"/>
        <v>-0.88797573740124258</v>
      </c>
    </row>
    <row r="198" spans="2:10" ht="14.5" x14ac:dyDescent="0.35">
      <c r="B198" s="260" t="s">
        <v>50</v>
      </c>
      <c r="C198" s="156">
        <v>1.1491356637669199</v>
      </c>
      <c r="D198" s="156">
        <v>1.0874000879813099</v>
      </c>
      <c r="E198" s="154"/>
      <c r="F198" s="5">
        <f t="shared" si="25"/>
        <v>2.2835991248787146</v>
      </c>
      <c r="G198" s="7">
        <f t="shared" si="26"/>
        <v>1.7961666181270146</v>
      </c>
      <c r="H198" s="24">
        <f t="shared" si="27"/>
        <v>9.014490236759551</v>
      </c>
      <c r="I198" s="25">
        <f t="shared" si="28"/>
        <v>9.0851395220611071</v>
      </c>
      <c r="J198" s="102">
        <f t="shared" si="29"/>
        <v>-0.7806710550764272</v>
      </c>
    </row>
    <row r="199" spans="2:10" ht="14.5" x14ac:dyDescent="0.35">
      <c r="B199" s="261" t="s">
        <v>38</v>
      </c>
      <c r="C199" s="157">
        <v>6.5655628122859202</v>
      </c>
      <c r="D199" s="157">
        <v>6.8075026432304702</v>
      </c>
      <c r="E199" s="154"/>
      <c r="F199" s="5">
        <f t="shared" si="25"/>
        <v>0</v>
      </c>
      <c r="G199" s="7">
        <f t="shared" si="26"/>
        <v>0.48823354655492335</v>
      </c>
      <c r="H199" s="24">
        <f t="shared" si="27"/>
        <v>48.75</v>
      </c>
      <c r="I199" s="25">
        <f t="shared" si="28"/>
        <v>49.168246134831115</v>
      </c>
      <c r="J199" s="102">
        <f t="shared" si="29"/>
        <v>-0.85427619742126515</v>
      </c>
    </row>
    <row r="200" spans="2:10" ht="14.5" x14ac:dyDescent="0.35">
      <c r="B200" s="260" t="s">
        <v>51</v>
      </c>
      <c r="C200" s="156">
        <v>3.58539287996456E-2</v>
      </c>
      <c r="D200" s="156">
        <v>2.8338751663142599E-2</v>
      </c>
      <c r="E200" s="154"/>
      <c r="F200" s="5">
        <f t="shared" si="25"/>
        <v>6.7439041513883327</v>
      </c>
      <c r="G200" s="7">
        <f t="shared" si="26"/>
        <v>6.263920439213658</v>
      </c>
      <c r="H200" s="24">
        <f t="shared" si="27"/>
        <v>0.27512249309700765</v>
      </c>
      <c r="I200" s="25">
        <f t="shared" si="28"/>
        <v>0.27671237075505634</v>
      </c>
      <c r="J200" s="102">
        <f t="shared" si="29"/>
        <v>-0.57621501003057429</v>
      </c>
    </row>
    <row r="201" spans="2:10" ht="14.5" x14ac:dyDescent="0.35">
      <c r="B201" s="261" t="s">
        <v>42</v>
      </c>
      <c r="C201" s="156">
        <v>2.9308119150095999</v>
      </c>
      <c r="D201" s="156">
        <v>2.8583390312146801</v>
      </c>
      <c r="E201" s="154"/>
      <c r="F201" s="5">
        <f t="shared" si="25"/>
        <v>1.5301693163711176</v>
      </c>
      <c r="G201" s="7">
        <f t="shared" si="26"/>
        <v>1.0422472266361551</v>
      </c>
      <c r="H201" s="24">
        <f t="shared" si="27"/>
        <v>23.025933200713546</v>
      </c>
      <c r="I201" s="25">
        <f t="shared" si="28"/>
        <v>23.215045099322762</v>
      </c>
      <c r="J201" s="102">
        <f t="shared" si="29"/>
        <v>-0.81794073378878962</v>
      </c>
    </row>
    <row r="202" spans="2:10" ht="14.5" x14ac:dyDescent="0.35">
      <c r="B202" s="260" t="s">
        <v>52</v>
      </c>
      <c r="C202" s="156">
        <v>0.30514835037406102</v>
      </c>
      <c r="D202" s="156">
        <v>0.221011582111802</v>
      </c>
      <c r="E202" s="154"/>
      <c r="F202" s="5">
        <f t="shared" si="25"/>
        <v>8.8742664230379553</v>
      </c>
      <c r="G202" s="7">
        <f t="shared" si="26"/>
        <v>8.4005918231144303</v>
      </c>
      <c r="H202" s="24">
        <f t="shared" si="27"/>
        <v>2.1131302099697273</v>
      </c>
      <c r="I202" s="25">
        <f t="shared" si="28"/>
        <v>2.1271719326849365</v>
      </c>
      <c r="J202" s="102">
        <f t="shared" si="29"/>
        <v>-0.66229821568414504</v>
      </c>
    </row>
    <row r="203" spans="2:10" ht="14.5" x14ac:dyDescent="0.35">
      <c r="B203" s="260" t="s">
        <v>53</v>
      </c>
      <c r="C203" s="156">
        <v>0.76040771034369303</v>
      </c>
      <c r="D203" s="156">
        <v>0.73711459026372905</v>
      </c>
      <c r="E203" s="154"/>
      <c r="F203" s="5">
        <f t="shared" si="25"/>
        <v>1.6818275066856982</v>
      </c>
      <c r="G203" s="7">
        <f t="shared" si="26"/>
        <v>1.1939861246863419</v>
      </c>
      <c r="H203" s="24">
        <f t="shared" si="27"/>
        <v>6.8904226049559645</v>
      </c>
      <c r="I203" s="25">
        <f t="shared" si="28"/>
        <v>6.923750390158852</v>
      </c>
      <c r="J203" s="102">
        <f t="shared" si="29"/>
        <v>-0.48251582218745021</v>
      </c>
    </row>
    <row r="204" spans="2:10" ht="14.5" x14ac:dyDescent="0.35">
      <c r="B204" s="260" t="s">
        <v>54</v>
      </c>
      <c r="C204" s="156">
        <v>0.23204217792999299</v>
      </c>
      <c r="D204" s="156">
        <v>0.24573196494221899</v>
      </c>
      <c r="E204" s="154"/>
      <c r="F204" s="5">
        <f t="shared" si="25"/>
        <v>0.52835811710428582</v>
      </c>
      <c r="G204" s="7">
        <f t="shared" si="26"/>
        <v>1.0164867776103792</v>
      </c>
      <c r="H204" s="24">
        <f t="shared" si="27"/>
        <v>3.5272821574271029</v>
      </c>
      <c r="I204" s="25">
        <f t="shared" si="28"/>
        <v>3.5609848333993219</v>
      </c>
      <c r="J204" s="102">
        <f t="shared" si="29"/>
        <v>-0.95094262154167464</v>
      </c>
    </row>
    <row r="205" spans="2:10" ht="14.5" x14ac:dyDescent="0.35">
      <c r="B205" s="260" t="s">
        <v>55</v>
      </c>
      <c r="C205" s="156">
        <v>1.0899235204417701</v>
      </c>
      <c r="D205" s="156">
        <v>1.0750138336355399</v>
      </c>
      <c r="E205" s="154"/>
      <c r="F205" s="5">
        <f t="shared" si="25"/>
        <v>1.2487677456708279</v>
      </c>
      <c r="G205" s="7">
        <f t="shared" si="26"/>
        <v>0.76071972049135628</v>
      </c>
      <c r="H205" s="24">
        <f t="shared" si="27"/>
        <v>8.9545757586029371</v>
      </c>
      <c r="I205" s="25">
        <f t="shared" si="28"/>
        <v>9.0222063867572437</v>
      </c>
      <c r="J205" s="102">
        <f t="shared" si="29"/>
        <v>-0.752421958584642</v>
      </c>
    </row>
    <row r="206" spans="2:10" ht="14.5" x14ac:dyDescent="0.35">
      <c r="B206" s="260" t="s">
        <v>56</v>
      </c>
      <c r="C206" s="156">
        <v>0.32398339622906203</v>
      </c>
      <c r="D206" s="156">
        <v>0.286021629434005</v>
      </c>
      <c r="E206" s="154"/>
      <c r="F206" s="5">
        <f t="shared" si="25"/>
        <v>4.0116567806224799</v>
      </c>
      <c r="G206" s="7">
        <f t="shared" si="26"/>
        <v>3.5261858249410709</v>
      </c>
      <c r="H206" s="24">
        <f t="shared" si="27"/>
        <v>1.9757939209469129</v>
      </c>
      <c r="I206" s="25">
        <f t="shared" si="28"/>
        <v>1.9964387949675193</v>
      </c>
      <c r="J206" s="102">
        <f t="shared" si="29"/>
        <v>-1.0394594424387276</v>
      </c>
    </row>
    <row r="207" spans="2:10" ht="14.5" x14ac:dyDescent="0.35">
      <c r="B207" s="263" t="s">
        <v>39</v>
      </c>
      <c r="C207" s="180">
        <v>0.56101060766904698</v>
      </c>
      <c r="D207" s="180">
        <v>0.47334381340493897</v>
      </c>
      <c r="E207" s="181"/>
      <c r="F207" s="128">
        <f t="shared" si="25"/>
        <v>5.134459987274516</v>
      </c>
      <c r="G207" s="40">
        <f t="shared" si="26"/>
        <v>4.6508900101893351</v>
      </c>
      <c r="H207" s="269">
        <f t="shared" si="27"/>
        <v>17.065298993965065</v>
      </c>
      <c r="I207" s="267">
        <f t="shared" si="28"/>
        <v>17.153941876534933</v>
      </c>
      <c r="J207" s="204">
        <f t="shared" si="29"/>
        <v>-0.51808795469969615</v>
      </c>
    </row>
    <row r="210" spans="2:10" ht="14.5" x14ac:dyDescent="0.35">
      <c r="B210" s="164" t="s">
        <v>62</v>
      </c>
      <c r="C210" s="360" t="s">
        <v>73</v>
      </c>
      <c r="D210" s="361"/>
      <c r="E210" s="362"/>
      <c r="F210"/>
      <c r="G210"/>
      <c r="H210"/>
    </row>
    <row r="211" spans="2:10" ht="14.5" x14ac:dyDescent="0.35">
      <c r="B211" s="176" t="s">
        <v>61</v>
      </c>
      <c r="C211" s="14"/>
      <c r="D211" s="174">
        <v>19.5</v>
      </c>
      <c r="E211" s="126"/>
      <c r="F211"/>
      <c r="G211"/>
      <c r="H211"/>
    </row>
    <row r="212" spans="2:10" ht="14.5" x14ac:dyDescent="0.35">
      <c r="B212" s="173" t="s">
        <v>26</v>
      </c>
      <c r="C212" s="82"/>
      <c r="D212" s="189">
        <v>40</v>
      </c>
      <c r="E212" s="26"/>
      <c r="F212"/>
      <c r="G212"/>
      <c r="H212"/>
    </row>
    <row r="213" spans="2:10" ht="14.5" x14ac:dyDescent="0.3">
      <c r="B213" s="363" t="s">
        <v>0</v>
      </c>
      <c r="C213" s="258" t="s">
        <v>89</v>
      </c>
      <c r="D213" s="218"/>
      <c r="E213" s="219"/>
      <c r="F213" s="358" t="s">
        <v>83</v>
      </c>
      <c r="G213" s="359"/>
      <c r="H213" s="323" t="s">
        <v>58</v>
      </c>
      <c r="I213" s="325"/>
      <c r="J213" s="182" t="s">
        <v>64</v>
      </c>
    </row>
    <row r="214" spans="2:10" ht="14" x14ac:dyDescent="0.3">
      <c r="B214" s="364"/>
      <c r="C214" s="212" t="s">
        <v>21</v>
      </c>
      <c r="D214" s="212" t="s">
        <v>8</v>
      </c>
      <c r="E214" s="212" t="s">
        <v>22</v>
      </c>
      <c r="F214" s="182" t="s">
        <v>28</v>
      </c>
      <c r="G214" s="214" t="s">
        <v>27</v>
      </c>
      <c r="H214" s="182" t="s">
        <v>28</v>
      </c>
      <c r="I214" s="182" t="s">
        <v>27</v>
      </c>
      <c r="J214" s="271" t="s">
        <v>63</v>
      </c>
    </row>
    <row r="215" spans="2:10" x14ac:dyDescent="0.3">
      <c r="B215" s="259" t="s">
        <v>2</v>
      </c>
      <c r="C215" s="178">
        <v>60.6543606719557</v>
      </c>
      <c r="D215" s="178">
        <v>50.707853098849597</v>
      </c>
      <c r="E215" s="179"/>
      <c r="F215" s="101">
        <f t="shared" ref="F215:F240" si="30">ABS(((C215/C$232)-(D215/D$232))/((C215/C$232)+(D215/D$232))/2)*100</f>
        <v>6.2074009907578303</v>
      </c>
      <c r="G215" s="54">
        <f t="shared" ref="G215:G240" si="31">ABS(((C215/C$219)-(D215/D$219))/((C215/C$219)+(D215/D$219))/2)*100</f>
        <v>5.7112777028200377</v>
      </c>
      <c r="H215" s="268">
        <f t="shared" ref="H215:H240" si="32">D$211*I17*((C215/C$232+D215/D$232)/2)/D$212*100</f>
        <v>896.08799784569339</v>
      </c>
      <c r="I215" s="266">
        <f t="shared" ref="I215:I240" si="33">H17*789270*(C215/C$219+D215/D$219)/2</f>
        <v>898.8394676893098</v>
      </c>
      <c r="J215" s="203">
        <f>(H215-I215)/((H215+I215)/2)*100</f>
        <v>-0.30658284487237386</v>
      </c>
    </row>
    <row r="216" spans="2:10" x14ac:dyDescent="0.3">
      <c r="B216" s="260" t="s">
        <v>45</v>
      </c>
      <c r="C216" s="155">
        <v>6.7581660937371399</v>
      </c>
      <c r="D216" s="155">
        <v>5.35486039521507</v>
      </c>
      <c r="E216" s="51"/>
      <c r="F216" s="5">
        <f t="shared" si="30"/>
        <v>7.5229434342748309</v>
      </c>
      <c r="G216" s="7">
        <f t="shared" si="31"/>
        <v>7.0303302004419113</v>
      </c>
      <c r="H216" s="24">
        <f t="shared" si="32"/>
        <v>56.121694816734149</v>
      </c>
      <c r="I216" s="25">
        <f t="shared" si="33"/>
        <v>56.425735703797379</v>
      </c>
      <c r="J216" s="102">
        <f t="shared" ref="J216:J240" si="34">(H216-I216)/((H216+I216)/2)*100</f>
        <v>-0.54028934406950446</v>
      </c>
    </row>
    <row r="217" spans="2:10" x14ac:dyDescent="0.3">
      <c r="B217" s="261" t="s">
        <v>4</v>
      </c>
      <c r="C217" s="155">
        <v>7.0933435877937301</v>
      </c>
      <c r="D217" s="155">
        <v>7.3311240040022803</v>
      </c>
      <c r="E217" s="51"/>
      <c r="F217" s="5">
        <f t="shared" si="30"/>
        <v>0.93741120433025005</v>
      </c>
      <c r="G217" s="7">
        <f t="shared" si="31"/>
        <v>0.43423319100182339</v>
      </c>
      <c r="H217" s="24">
        <f t="shared" si="32"/>
        <v>117.80025618130989</v>
      </c>
      <c r="I217" s="25">
        <f t="shared" si="33"/>
        <v>118.01524986643621</v>
      </c>
      <c r="J217" s="102">
        <f t="shared" si="34"/>
        <v>-0.18234058372971121</v>
      </c>
    </row>
    <row r="218" spans="2:10" x14ac:dyDescent="0.3">
      <c r="B218" s="261" t="s">
        <v>5</v>
      </c>
      <c r="C218" s="155">
        <v>29.778273069266401</v>
      </c>
      <c r="D218" s="155">
        <v>30.478221089516399</v>
      </c>
      <c r="E218" s="51"/>
      <c r="F218" s="5">
        <f t="shared" si="30"/>
        <v>1.1807688794986952</v>
      </c>
      <c r="G218" s="7">
        <f t="shared" si="31"/>
        <v>0.67767000210535266</v>
      </c>
      <c r="H218" s="24">
        <f t="shared" si="32"/>
        <v>511.6050712417163</v>
      </c>
      <c r="I218" s="25">
        <f t="shared" si="33"/>
        <v>512.38953039734076</v>
      </c>
      <c r="J218" s="102">
        <f t="shared" si="34"/>
        <v>-0.15321548655995185</v>
      </c>
    </row>
    <row r="219" spans="2:10" x14ac:dyDescent="0.3">
      <c r="B219" s="262" t="s">
        <v>6</v>
      </c>
      <c r="C219" s="158">
        <v>66388.082332149701</v>
      </c>
      <c r="D219" s="158">
        <v>69815.730341274393</v>
      </c>
      <c r="E219" s="51"/>
      <c r="F219" s="5">
        <f t="shared" si="30"/>
        <v>0.50325995513262489</v>
      </c>
      <c r="G219" s="7">
        <f t="shared" si="31"/>
        <v>0</v>
      </c>
      <c r="H219" s="24">
        <f t="shared" si="32"/>
        <v>0</v>
      </c>
      <c r="I219" s="25">
        <f t="shared" si="33"/>
        <v>789270</v>
      </c>
      <c r="J219" s="102"/>
    </row>
    <row r="220" spans="2:10" x14ac:dyDescent="0.3">
      <c r="B220" s="260" t="s">
        <v>46</v>
      </c>
      <c r="C220" s="155">
        <v>5.90932722806842E-2</v>
      </c>
      <c r="D220" s="155">
        <v>6.4902666698447506E-2</v>
      </c>
      <c r="E220" s="52"/>
      <c r="F220" s="5">
        <f t="shared" si="30"/>
        <v>0.58244271355329447</v>
      </c>
      <c r="G220" s="7">
        <f t="shared" si="31"/>
        <v>1.0855753871021614</v>
      </c>
      <c r="H220" s="24">
        <f t="shared" si="32"/>
        <v>0.51014816589223699</v>
      </c>
      <c r="I220" s="25">
        <f t="shared" si="33"/>
        <v>0.51086912401080864</v>
      </c>
      <c r="J220" s="102">
        <f t="shared" si="34"/>
        <v>-0.14122348871097129</v>
      </c>
    </row>
    <row r="221" spans="2:10" x14ac:dyDescent="0.3">
      <c r="B221" s="260" t="s">
        <v>14</v>
      </c>
      <c r="C221" s="155">
        <v>4.3570721480758197E-2</v>
      </c>
      <c r="D221" s="155">
        <v>3.1892650612855802E-2</v>
      </c>
      <c r="E221" s="51"/>
      <c r="F221" s="5">
        <f t="shared" si="30"/>
        <v>9.4471753459527967</v>
      </c>
      <c r="G221" s="7">
        <f t="shared" si="31"/>
        <v>8.960956926645256</v>
      </c>
      <c r="H221" s="24">
        <f t="shared" si="32"/>
        <v>0.22354687895138745</v>
      </c>
      <c r="I221" s="25">
        <f t="shared" si="33"/>
        <v>0.22428295348548477</v>
      </c>
      <c r="J221" s="102">
        <f t="shared" si="34"/>
        <v>-0.3287295668053043</v>
      </c>
    </row>
    <row r="222" spans="2:10" x14ac:dyDescent="0.3">
      <c r="B222" s="260" t="s">
        <v>47</v>
      </c>
      <c r="C222" s="155">
        <v>0.182565874344323</v>
      </c>
      <c r="D222" s="155">
        <v>0.194219418629895</v>
      </c>
      <c r="E222" s="51"/>
      <c r="F222" s="5">
        <f t="shared" si="30"/>
        <v>0.21488336327262092</v>
      </c>
      <c r="G222" s="7">
        <f t="shared" si="31"/>
        <v>0.28838906667030384</v>
      </c>
      <c r="H222" s="24">
        <f t="shared" si="32"/>
        <v>1.5023453714257644</v>
      </c>
      <c r="I222" s="25">
        <f t="shared" si="33"/>
        <v>1.50502262433358</v>
      </c>
      <c r="J222" s="102">
        <f t="shared" si="34"/>
        <v>-0.17804624585955448</v>
      </c>
    </row>
    <row r="223" spans="2:10" x14ac:dyDescent="0.3">
      <c r="B223" s="261" t="s">
        <v>15</v>
      </c>
      <c r="C223" s="155">
        <v>30.157073504146101</v>
      </c>
      <c r="D223" s="155">
        <v>31.616000809041601</v>
      </c>
      <c r="E223" s="51"/>
      <c r="F223" s="5">
        <f t="shared" si="30"/>
        <v>0.58069956292420155</v>
      </c>
      <c r="G223" s="7">
        <f t="shared" si="31"/>
        <v>7.7448661318150175E-2</v>
      </c>
      <c r="H223" s="24">
        <f t="shared" si="32"/>
        <v>290.35759125063242</v>
      </c>
      <c r="I223" s="25">
        <f t="shared" si="33"/>
        <v>290.82909139537242</v>
      </c>
      <c r="J223" s="102">
        <f t="shared" si="34"/>
        <v>-0.16225428380201806</v>
      </c>
    </row>
    <row r="224" spans="2:10" x14ac:dyDescent="0.3">
      <c r="B224" s="261" t="s">
        <v>1</v>
      </c>
      <c r="C224" s="155">
        <v>23.924335361265701</v>
      </c>
      <c r="D224" s="155">
        <v>24.574928563826301</v>
      </c>
      <c r="E224" s="51"/>
      <c r="F224" s="5">
        <f t="shared" si="30"/>
        <v>1.0908835033537623</v>
      </c>
      <c r="G224" s="7">
        <f t="shared" si="31"/>
        <v>0.58775261822188563</v>
      </c>
      <c r="H224" s="24">
        <f t="shared" si="32"/>
        <v>198.94422605380257</v>
      </c>
      <c r="I224" s="25">
        <f t="shared" si="33"/>
        <v>199.21699262497722</v>
      </c>
      <c r="J224" s="102">
        <f t="shared" si="34"/>
        <v>-0.13701312854113684</v>
      </c>
    </row>
    <row r="225" spans="2:10" x14ac:dyDescent="0.3">
      <c r="B225" s="260" t="s">
        <v>16</v>
      </c>
      <c r="C225" s="155">
        <v>0.43326385700168601</v>
      </c>
      <c r="D225" s="155">
        <v>0.49409632642177997</v>
      </c>
      <c r="E225" s="51"/>
      <c r="F225" s="5">
        <f t="shared" si="30"/>
        <v>1.5222971449372324</v>
      </c>
      <c r="G225" s="7">
        <f t="shared" si="31"/>
        <v>2.0249365694415835</v>
      </c>
      <c r="H225" s="24">
        <f t="shared" si="32"/>
        <v>3.6156741457807922</v>
      </c>
      <c r="I225" s="25">
        <f t="shared" si="33"/>
        <v>3.6245638197575012</v>
      </c>
      <c r="J225" s="102">
        <f t="shared" si="34"/>
        <v>-0.24556303312188466</v>
      </c>
    </row>
    <row r="226" spans="2:10" x14ac:dyDescent="0.3">
      <c r="B226" s="260" t="s">
        <v>48</v>
      </c>
      <c r="C226" s="155">
        <v>0.32345053847230998</v>
      </c>
      <c r="D226" s="155">
        <v>0.31923852967050997</v>
      </c>
      <c r="E226" s="51"/>
      <c r="F226" s="5">
        <f t="shared" si="30"/>
        <v>2.0882972072889698</v>
      </c>
      <c r="G226" s="7">
        <f t="shared" si="31"/>
        <v>1.5857038543759436</v>
      </c>
      <c r="H226" s="24">
        <f t="shared" si="32"/>
        <v>2.7756821913182721</v>
      </c>
      <c r="I226" s="25">
        <f t="shared" si="33"/>
        <v>2.7756817473379725</v>
      </c>
      <c r="J226" s="102">
        <f t="shared" si="34"/>
        <v>1.5995359142076042E-5</v>
      </c>
    </row>
    <row r="227" spans="2:10" x14ac:dyDescent="0.3">
      <c r="B227" s="261" t="s">
        <v>17</v>
      </c>
      <c r="C227" s="155">
        <v>35.140211400065901</v>
      </c>
      <c r="D227" s="155">
        <v>36.150370684962702</v>
      </c>
      <c r="E227" s="51"/>
      <c r="F227" s="5">
        <f t="shared" si="30"/>
        <v>1.0531383227774349</v>
      </c>
      <c r="G227" s="7">
        <f t="shared" si="31"/>
        <v>0.54999496709374329</v>
      </c>
      <c r="H227" s="24">
        <f t="shared" si="32"/>
        <v>270.55934148722861</v>
      </c>
      <c r="I227" s="25">
        <f t="shared" si="33"/>
        <v>270.90877930851309</v>
      </c>
      <c r="J227" s="102">
        <f t="shared" si="34"/>
        <v>-0.12907050585764801</v>
      </c>
    </row>
    <row r="228" spans="2:10" ht="14.5" x14ac:dyDescent="0.35">
      <c r="B228" s="261" t="s">
        <v>18</v>
      </c>
      <c r="C228" s="156">
        <v>189.476612429928</v>
      </c>
      <c r="D228" s="156">
        <v>195.94428234720601</v>
      </c>
      <c r="E228" s="154"/>
      <c r="F228" s="5">
        <f t="shared" si="30"/>
        <v>0.92259833683738157</v>
      </c>
      <c r="G228" s="7">
        <f t="shared" si="31"/>
        <v>0.41941627683610383</v>
      </c>
      <c r="H228" s="24">
        <f t="shared" si="32"/>
        <v>1494.2384456004208</v>
      </c>
      <c r="I228" s="25">
        <f t="shared" si="33"/>
        <v>1496.151218852996</v>
      </c>
      <c r="J228" s="102">
        <f t="shared" si="34"/>
        <v>-0.12792802726093716</v>
      </c>
    </row>
    <row r="229" spans="2:10" ht="14.5" x14ac:dyDescent="0.35">
      <c r="B229" s="261" t="s">
        <v>40</v>
      </c>
      <c r="C229" s="156">
        <v>1.7433024744862</v>
      </c>
      <c r="D229" s="156">
        <v>1.8787455623893401</v>
      </c>
      <c r="E229" s="154"/>
      <c r="F229" s="5">
        <f t="shared" si="30"/>
        <v>0.10875342450288837</v>
      </c>
      <c r="G229" s="7">
        <f t="shared" si="31"/>
        <v>0.61199998142750422</v>
      </c>
      <c r="H229" s="24">
        <f t="shared" si="32"/>
        <v>13.805603360515223</v>
      </c>
      <c r="I229" s="25">
        <f t="shared" si="33"/>
        <v>13.817396887419907</v>
      </c>
      <c r="J229" s="102">
        <f t="shared" si="34"/>
        <v>-8.5389181470726425E-2</v>
      </c>
    </row>
    <row r="230" spans="2:10" ht="14.5" x14ac:dyDescent="0.35">
      <c r="B230" s="261" t="s">
        <v>41</v>
      </c>
      <c r="C230" s="156">
        <v>6.53600834295833</v>
      </c>
      <c r="D230" s="156">
        <v>6.5335098135832101</v>
      </c>
      <c r="E230" s="154"/>
      <c r="F230" s="5">
        <f t="shared" si="30"/>
        <v>1.77063959088323</v>
      </c>
      <c r="G230" s="7">
        <f t="shared" si="31"/>
        <v>1.2678315375673388</v>
      </c>
      <c r="H230" s="24">
        <f t="shared" si="32"/>
        <v>103.55056558453053</v>
      </c>
      <c r="I230" s="25">
        <f t="shared" si="33"/>
        <v>103.69947662683006</v>
      </c>
      <c r="J230" s="102">
        <f t="shared" si="34"/>
        <v>-0.14370182096046716</v>
      </c>
    </row>
    <row r="231" spans="2:10" ht="14.5" x14ac:dyDescent="0.35">
      <c r="B231" s="260" t="s">
        <v>50</v>
      </c>
      <c r="C231" s="156">
        <v>1.16724306463512</v>
      </c>
      <c r="D231" s="156">
        <v>1.24872307346766</v>
      </c>
      <c r="E231" s="154"/>
      <c r="F231" s="5">
        <f t="shared" si="30"/>
        <v>7.4899776774848492E-2</v>
      </c>
      <c r="G231" s="7">
        <f t="shared" si="31"/>
        <v>0.4283666371085697</v>
      </c>
      <c r="H231" s="24">
        <f t="shared" si="32"/>
        <v>10.005233287862074</v>
      </c>
      <c r="I231" s="25">
        <f t="shared" si="33"/>
        <v>10.016976997334238</v>
      </c>
      <c r="J231" s="102">
        <f t="shared" si="34"/>
        <v>-0.11730682382101053</v>
      </c>
    </row>
    <row r="232" spans="2:10" ht="14.5" x14ac:dyDescent="0.35">
      <c r="B232" s="261" t="s">
        <v>38</v>
      </c>
      <c r="C232" s="157">
        <v>6.2736646466058401</v>
      </c>
      <c r="D232" s="157">
        <v>6.7317391317682</v>
      </c>
      <c r="E232" s="154"/>
      <c r="F232" s="5">
        <f t="shared" si="30"/>
        <v>0</v>
      </c>
      <c r="G232" s="7">
        <f t="shared" si="31"/>
        <v>0.50325995513262378</v>
      </c>
      <c r="H232" s="24">
        <f t="shared" si="32"/>
        <v>48.75</v>
      </c>
      <c r="I232" s="25">
        <f t="shared" si="33"/>
        <v>48.822112534105784</v>
      </c>
      <c r="J232" s="102">
        <f t="shared" si="34"/>
        <v>-0.14781382145554692</v>
      </c>
    </row>
    <row r="233" spans="2:10" ht="14.5" x14ac:dyDescent="0.35">
      <c r="B233" s="260" t="s">
        <v>51</v>
      </c>
      <c r="C233" s="156">
        <v>4.2640597407170598E-2</v>
      </c>
      <c r="D233" s="156">
        <v>3.9134524007474303E-2</v>
      </c>
      <c r="E233" s="154"/>
      <c r="F233" s="5">
        <f t="shared" si="30"/>
        <v>3.8989336762719069</v>
      </c>
      <c r="G233" s="7">
        <f t="shared" si="31"/>
        <v>3.3983409799971045</v>
      </c>
      <c r="H233" s="24">
        <f t="shared" si="32"/>
        <v>0.36049755838566372</v>
      </c>
      <c r="I233" s="25">
        <f t="shared" si="33"/>
        <v>0.36022016125101503</v>
      </c>
      <c r="J233" s="102">
        <f t="shared" si="34"/>
        <v>7.6978025401826508E-2</v>
      </c>
    </row>
    <row r="234" spans="2:10" ht="14.5" x14ac:dyDescent="0.35">
      <c r="B234" s="261" t="s">
        <v>42</v>
      </c>
      <c r="C234" s="156">
        <v>5.56279014095582</v>
      </c>
      <c r="D234" s="156">
        <v>5.0116577409148801</v>
      </c>
      <c r="E234" s="154"/>
      <c r="F234" s="5">
        <f t="shared" si="30"/>
        <v>4.359053830228687</v>
      </c>
      <c r="G234" s="7">
        <f t="shared" si="31"/>
        <v>3.8591802860921698</v>
      </c>
      <c r="H234" s="24">
        <f t="shared" si="32"/>
        <v>43.357307969368989</v>
      </c>
      <c r="I234" s="25">
        <f t="shared" si="33"/>
        <v>43.380543913212577</v>
      </c>
      <c r="J234" s="102">
        <f t="shared" si="34"/>
        <v>-5.3577402112846242E-2</v>
      </c>
    </row>
    <row r="235" spans="2:10" ht="14.5" x14ac:dyDescent="0.35">
      <c r="B235" s="260" t="s">
        <v>52</v>
      </c>
      <c r="C235" s="156">
        <v>0.302426890079523</v>
      </c>
      <c r="D235" s="156">
        <v>0.33386302065197498</v>
      </c>
      <c r="E235" s="154"/>
      <c r="F235" s="5">
        <f t="shared" si="30"/>
        <v>0.71041120043937933</v>
      </c>
      <c r="G235" s="7">
        <f t="shared" si="31"/>
        <v>1.2134976149726844</v>
      </c>
      <c r="H235" s="24">
        <f t="shared" si="32"/>
        <v>2.617921441417137</v>
      </c>
      <c r="I235" s="25">
        <f t="shared" si="33"/>
        <v>2.6216832638509091</v>
      </c>
      <c r="J235" s="102">
        <f t="shared" si="34"/>
        <v>-0.1435918411932815</v>
      </c>
    </row>
    <row r="236" spans="2:10" ht="14.5" x14ac:dyDescent="0.35">
      <c r="B236" s="260" t="s">
        <v>53</v>
      </c>
      <c r="C236" s="156">
        <v>0.58460240604131297</v>
      </c>
      <c r="D236" s="156">
        <v>0.58800439543234395</v>
      </c>
      <c r="E236" s="154"/>
      <c r="F236" s="5">
        <f t="shared" si="30"/>
        <v>1.6161970923889428</v>
      </c>
      <c r="G236" s="7">
        <f t="shared" si="31"/>
        <v>1.1132993457589009</v>
      </c>
      <c r="H236" s="24">
        <f t="shared" si="32"/>
        <v>5.5508879934746691</v>
      </c>
      <c r="I236" s="25">
        <f t="shared" si="33"/>
        <v>5.5384878368910186</v>
      </c>
      <c r="J236" s="102">
        <f t="shared" si="34"/>
        <v>0.22364029812562577</v>
      </c>
    </row>
    <row r="237" spans="2:10" ht="14.5" x14ac:dyDescent="0.35">
      <c r="B237" s="260" t="s">
        <v>54</v>
      </c>
      <c r="C237" s="156">
        <v>0.21680737342776599</v>
      </c>
      <c r="D237" s="156">
        <v>0.25043137313637798</v>
      </c>
      <c r="E237" s="154"/>
      <c r="F237" s="5">
        <f t="shared" si="30"/>
        <v>1.8417357714764615</v>
      </c>
      <c r="G237" s="7">
        <f t="shared" si="31"/>
        <v>2.344126644598211</v>
      </c>
      <c r="H237" s="24">
        <f t="shared" si="32"/>
        <v>3.5431005374305555</v>
      </c>
      <c r="I237" s="25">
        <f t="shared" si="33"/>
        <v>3.5527236147992736</v>
      </c>
      <c r="J237" s="102">
        <f t="shared" si="34"/>
        <v>-0.27123212645268358</v>
      </c>
    </row>
    <row r="238" spans="2:10" ht="14.5" x14ac:dyDescent="0.35">
      <c r="B238" s="260" t="s">
        <v>55</v>
      </c>
      <c r="C238" s="156">
        <v>0.99584086795767601</v>
      </c>
      <c r="D238" s="156">
        <v>0.95946787309389803</v>
      </c>
      <c r="E238" s="154"/>
      <c r="F238" s="5">
        <f t="shared" si="30"/>
        <v>2.6894395077251323</v>
      </c>
      <c r="G238" s="7">
        <f t="shared" si="31"/>
        <v>2.1873637801490231</v>
      </c>
      <c r="H238" s="24">
        <f t="shared" si="32"/>
        <v>8.3281673720114338</v>
      </c>
      <c r="I238" s="25">
        <f t="shared" si="33"/>
        <v>8.3295161780845035</v>
      </c>
      <c r="J238" s="102">
        <f t="shared" si="34"/>
        <v>-1.6194401448597386E-2</v>
      </c>
    </row>
    <row r="239" spans="2:10" ht="14.5" x14ac:dyDescent="0.35">
      <c r="B239" s="260" t="s">
        <v>56</v>
      </c>
      <c r="C239" s="156">
        <v>0.41441912510137802</v>
      </c>
      <c r="D239" s="156">
        <v>0.35709843039612099</v>
      </c>
      <c r="E239" s="154"/>
      <c r="F239" s="5">
        <f t="shared" si="30"/>
        <v>5.4616024476251832</v>
      </c>
      <c r="G239" s="7">
        <f t="shared" si="31"/>
        <v>4.9637999041806777</v>
      </c>
      <c r="H239" s="24">
        <f t="shared" si="32"/>
        <v>2.5757542608986346</v>
      </c>
      <c r="I239" s="25">
        <f t="shared" si="33"/>
        <v>2.5835285787834552</v>
      </c>
      <c r="J239" s="102">
        <f t="shared" si="34"/>
        <v>-0.30137203663366835</v>
      </c>
    </row>
    <row r="240" spans="2:10" ht="14.5" x14ac:dyDescent="0.35">
      <c r="B240" s="263" t="s">
        <v>39</v>
      </c>
      <c r="C240" s="180">
        <v>0.382762516507624</v>
      </c>
      <c r="D240" s="180">
        <v>0.33311968137870901</v>
      </c>
      <c r="E240" s="181"/>
      <c r="F240" s="128">
        <f t="shared" si="30"/>
        <v>5.2156028947859312</v>
      </c>
      <c r="G240" s="40">
        <f t="shared" si="31"/>
        <v>4.7172957304830518</v>
      </c>
      <c r="H240" s="269">
        <f t="shared" si="32"/>
        <v>12.167019303248269</v>
      </c>
      <c r="I240" s="267">
        <f t="shared" si="33"/>
        <v>12.143547116076897</v>
      </c>
      <c r="J240" s="204">
        <f t="shared" si="34"/>
        <v>0.19310275841794422</v>
      </c>
    </row>
  </sheetData>
  <mergeCells count="26">
    <mergeCell ref="B8:J12"/>
    <mergeCell ref="C45:E45"/>
    <mergeCell ref="C13:E13"/>
    <mergeCell ref="F48:G48"/>
    <mergeCell ref="H48:I48"/>
    <mergeCell ref="B48:B49"/>
    <mergeCell ref="C78:E78"/>
    <mergeCell ref="B81:B82"/>
    <mergeCell ref="C210:E210"/>
    <mergeCell ref="B213:B214"/>
    <mergeCell ref="C177:E177"/>
    <mergeCell ref="B180:B181"/>
    <mergeCell ref="C111:E111"/>
    <mergeCell ref="B114:B115"/>
    <mergeCell ref="C144:E144"/>
    <mergeCell ref="B147:B148"/>
    <mergeCell ref="F180:G180"/>
    <mergeCell ref="H180:I180"/>
    <mergeCell ref="F213:G213"/>
    <mergeCell ref="H213:I213"/>
    <mergeCell ref="H81:I81"/>
    <mergeCell ref="F114:G114"/>
    <mergeCell ref="H114:I114"/>
    <mergeCell ref="F147:G147"/>
    <mergeCell ref="H147:I147"/>
    <mergeCell ref="F81:G8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60" zoomScaleNormal="60" workbookViewId="0">
      <selection activeCell="F18" sqref="F18"/>
    </sheetView>
  </sheetViews>
  <sheetFormatPr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32772" r:id="rId4">
          <objectPr defaultSize="0" autoPict="0" r:id="rId5">
            <anchor moveWithCells="1" sizeWithCells="1">
              <from>
                <xdr:col>22</xdr:col>
                <xdr:colOff>120650</xdr:colOff>
                <xdr:row>29</xdr:row>
                <xdr:rowOff>6350</xdr:rowOff>
              </from>
              <to>
                <xdr:col>27</xdr:col>
                <xdr:colOff>254000</xdr:colOff>
                <xdr:row>34</xdr:row>
                <xdr:rowOff>165100</xdr:rowOff>
              </to>
            </anchor>
          </objectPr>
        </oleObject>
      </mc:Choice>
      <mc:Fallback>
        <oleObject progId="Equation.DSMT4" shapeId="32772" r:id="rId4"/>
      </mc:Fallback>
    </mc:AlternateContent>
    <mc:AlternateContent xmlns:mc="http://schemas.openxmlformats.org/markup-compatibility/2006">
      <mc:Choice Requires="x14">
        <oleObject progId="Equation.DSMT4" shapeId="32773" r:id="rId6">
          <objectPr defaultSize="0" autoPict="0" r:id="rId7">
            <anchor moveWithCells="1" sizeWithCells="1">
              <from>
                <xdr:col>22</xdr:col>
                <xdr:colOff>107950</xdr:colOff>
                <xdr:row>22</xdr:row>
                <xdr:rowOff>63500</xdr:rowOff>
              </from>
              <to>
                <xdr:col>27</xdr:col>
                <xdr:colOff>285750</xdr:colOff>
                <xdr:row>28</xdr:row>
                <xdr:rowOff>44450</xdr:rowOff>
              </to>
            </anchor>
          </objectPr>
        </oleObject>
      </mc:Choice>
      <mc:Fallback>
        <oleObject progId="Equation.DSMT4" shapeId="32773" r:id="rId6"/>
      </mc:Fallback>
    </mc:AlternateContent>
    <mc:AlternateContent xmlns:mc="http://schemas.openxmlformats.org/markup-compatibility/2006">
      <mc:Choice Requires="x14">
        <oleObject progId="Equation.DSMT4" shapeId="32774" r:id="rId8">
          <objectPr defaultSize="0" autoPict="0" r:id="rId9">
            <anchor moveWithCells="1" sizeWithCells="1">
              <from>
                <xdr:col>22</xdr:col>
                <xdr:colOff>101600</xdr:colOff>
                <xdr:row>8</xdr:row>
                <xdr:rowOff>127000</xdr:rowOff>
              </from>
              <to>
                <xdr:col>26</xdr:col>
                <xdr:colOff>393700</xdr:colOff>
                <xdr:row>14</xdr:row>
                <xdr:rowOff>19050</xdr:rowOff>
              </to>
            </anchor>
          </objectPr>
        </oleObject>
      </mc:Choice>
      <mc:Fallback>
        <oleObject progId="Equation.DSMT4" shapeId="32774" r:id="rId8"/>
      </mc:Fallback>
    </mc:AlternateContent>
    <mc:AlternateContent xmlns:mc="http://schemas.openxmlformats.org/markup-compatibility/2006">
      <mc:Choice Requires="x14">
        <oleObject progId="Equation.DSMT4" shapeId="32776" r:id="rId10">
          <objectPr defaultSize="0" autoPict="0" r:id="rId11">
            <anchor moveWithCells="1" sizeWithCells="1">
              <from>
                <xdr:col>22</xdr:col>
                <xdr:colOff>298450</xdr:colOff>
                <xdr:row>56</xdr:row>
                <xdr:rowOff>133350</xdr:rowOff>
              </from>
              <to>
                <xdr:col>28</xdr:col>
                <xdr:colOff>196850</xdr:colOff>
                <xdr:row>60</xdr:row>
                <xdr:rowOff>82550</xdr:rowOff>
              </to>
            </anchor>
          </objectPr>
        </oleObject>
      </mc:Choice>
      <mc:Fallback>
        <oleObject progId="Equation.DSMT4" shapeId="32776" r:id="rId10"/>
      </mc:Fallback>
    </mc:AlternateContent>
    <mc:AlternateContent xmlns:mc="http://schemas.openxmlformats.org/markup-compatibility/2006">
      <mc:Choice Requires="x14">
        <oleObject progId="Equation.DSMT4" shapeId="32777" r:id="rId12">
          <objectPr defaultSize="0" autoPict="0" r:id="rId13">
            <anchor moveWithCells="1" sizeWithCells="1">
              <from>
                <xdr:col>22</xdr:col>
                <xdr:colOff>260350</xdr:colOff>
                <xdr:row>62</xdr:row>
                <xdr:rowOff>19050</xdr:rowOff>
              </from>
              <to>
                <xdr:col>28</xdr:col>
                <xdr:colOff>285750</xdr:colOff>
                <xdr:row>65</xdr:row>
                <xdr:rowOff>171450</xdr:rowOff>
              </to>
            </anchor>
          </objectPr>
        </oleObject>
      </mc:Choice>
      <mc:Fallback>
        <oleObject progId="Equation.DSMT4" shapeId="32777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2870-Scope</vt:lpstr>
      <vt:lpstr>Stand Solutions</vt:lpstr>
      <vt:lpstr>Lab-4</vt:lpstr>
      <vt:lpstr>Lab-5</vt:lpstr>
      <vt:lpstr>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Пользователь Windows</cp:lastModifiedBy>
  <cp:lastPrinted>2026-08-01T04:48:23Z</cp:lastPrinted>
  <dcterms:created xsi:type="dcterms:W3CDTF">2019-04-30T12:01:51Z</dcterms:created>
  <dcterms:modified xsi:type="dcterms:W3CDTF">2026-09-30T05:34:55Z</dcterms:modified>
</cp:coreProperties>
</file>